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7200" windowHeight="4980" tabRatio="936" activeTab="0"/>
  </bookViews>
  <sheets>
    <sheet name="Budsjett" sheetId="1" r:id="rId1"/>
    <sheet name="H-Drift" sheetId="2" r:id="rId2"/>
    <sheet name="H-Avs" sheetId="3" r:id="rId3"/>
    <sheet name="H-Lån"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ahoma"/>
            <family val="2"/>
          </rPr>
          <t xml:space="preserve">Med dette regnearket kan du budsjettere mange varianter av et prosjekts kontantstrøm. Du kan ha to produkter og en planhorisont på opptil ti år. Når du starter regnearket vises ett produkt og fem år. Derfra utvider du lett ved å trykke på +-tegnet foran linje 19 og over kolonne F. Du kan ha to  innsatsfaktorer for hvert produkt. Det er mulig å legge inn generell og spesiell prisstigning på ferdigvarer og innsatsfaktorer (jfr bokens del 2.7). Finansiering kan skje ved et serielån, annuitetslån eller begge deler. Forutsetningene bak en rekke poster er forklart ved kommentarer til aktuell celle.
</t>
        </r>
        <r>
          <rPr>
            <b/>
            <sz val="11"/>
            <rFont val="Tahoma"/>
            <family val="2"/>
          </rPr>
          <t>Fet</t>
        </r>
        <r>
          <rPr>
            <sz val="11"/>
            <rFont val="Tahoma"/>
            <family val="2"/>
          </rPr>
          <t xml:space="preserve"> font angir inputverdi. </t>
        </r>
        <r>
          <rPr>
            <sz val="11"/>
            <color indexed="10"/>
            <rFont val="Tahoma"/>
            <family val="2"/>
          </rPr>
          <t xml:space="preserve">Rød </t>
        </r>
        <r>
          <rPr>
            <sz val="11"/>
            <rFont val="Tahoma"/>
            <family val="2"/>
          </rPr>
          <t>font angir at cellen inneholder en formel. I slike celler med rød font kan du likevel legge inn et tall om du ønsker det (jfr kommentar til celle C4).
Mange av beregningene ligger i hjelpearkene H-Drift, H-Avs(skrivninger) og H-Lån. Alle forutsetninger legges inn i hovedarket (Budsjett).
Budsjettoppstillingen tilsvarer bokens tabell 2.17 og 2.18.
Ønsker du å beregne:
- reell kontantstrøm, setter du prisstigningen i celle B40 lik null.
- kontantstrøm før skatt, setter du skattesatsen i celle B41 lik null
- kontantstrøm til totalkapitalen, setter du lånebeløpene i cellene B32 og B36 lik null.
Lykke til!</t>
        </r>
        <r>
          <rPr>
            <sz val="8"/>
            <rFont val="Tahoma"/>
            <family val="2"/>
          </rPr>
          <t xml:space="preserve">
</t>
        </r>
      </text>
    </comment>
    <comment ref="C4" authorId="0">
      <text>
        <r>
          <rPr>
            <sz val="12"/>
            <rFont val="Times New Roman"/>
            <family val="1"/>
          </rPr>
          <t>Vedien i denne cellen er i utgangsgpunktet lik den generelle prisendringen i celle B40. Du kan fritt legge inn en annen prisendring her. Dette gjelder også for alle de andre cellene som er angitt med rød font. Da skriver du over formelen som ligger der nå. Du bør derfor lagre filen under et nytt navn og hente opp det generelle regnearket når du begynner med et nytt prosjekt.</t>
        </r>
        <r>
          <rPr>
            <sz val="8"/>
            <rFont val="Tahoma"/>
            <family val="2"/>
          </rPr>
          <t xml:space="preserve">
</t>
        </r>
      </text>
    </comment>
    <comment ref="G26" authorId="0">
      <text>
        <r>
          <rPr>
            <sz val="12"/>
            <rFont val="Times New Roman"/>
            <family val="1"/>
          </rPr>
          <t>Denne verdien ligger bare til informasjonfor å minne om at noe av en investering vanligvis kostnadsføres direkte. Beløpet i Celle B26 kostnadsføres direkte uansett hva du skriver her i Celle E26. Har prosjektet ingen poster som kostnadsføres direkte setter du beløpet i celle B26 lik null.</t>
        </r>
        <r>
          <rPr>
            <sz val="8"/>
            <rFont val="Tahoma"/>
            <family val="2"/>
          </rPr>
          <t xml:space="preserve">
</t>
        </r>
      </text>
    </comment>
    <comment ref="B34" authorId="0">
      <text>
        <r>
          <rPr>
            <sz val="11"/>
            <rFont val="Tahoma"/>
            <family val="2"/>
          </rPr>
          <t>Hvis lånets løpetid er kortere enn plaperioden, innfris hele restlånet ved planperiodens slutt. 
Er lånet avdragsfritt i hele planperioden, får du en  god tilnærming om du leggger inn en lang løpetid - f.eks,. 100 år.</t>
        </r>
      </text>
    </comment>
    <comment ref="J29" authorId="0">
      <text>
        <r>
          <rPr>
            <sz val="11"/>
            <rFont val="Tahoma"/>
            <family val="2"/>
          </rPr>
          <t>Du kan endre intervallene på horsontal akse for nåverdiprofilen ved å endre tallet i denne cellen</t>
        </r>
        <r>
          <rPr>
            <sz val="8"/>
            <rFont val="Tahoma"/>
            <family val="2"/>
          </rPr>
          <t xml:space="preserve">
</t>
        </r>
      </text>
    </comment>
    <comment ref="H13" authorId="0">
      <text>
        <r>
          <rPr>
            <sz val="11"/>
            <rFont val="Tahoma"/>
            <family val="2"/>
          </rPr>
          <t>Tallene i denne linjen er hentet fra hjelpearket H-Avs</t>
        </r>
        <r>
          <rPr>
            <sz val="8"/>
            <rFont val="Tahoma"/>
            <family val="2"/>
          </rPr>
          <t xml:space="preserve">
</t>
        </r>
      </text>
    </comment>
    <comment ref="H23" authorId="0">
      <text>
        <r>
          <rPr>
            <sz val="11"/>
            <rFont val="Tahoma"/>
            <family val="2"/>
          </rPr>
          <t>Tallene for låneopptak, renter og avdrag er heente fra hjelpearket H-Lån.</t>
        </r>
        <r>
          <rPr>
            <sz val="8"/>
            <rFont val="Tahoma"/>
            <family val="2"/>
          </rPr>
          <t xml:space="preserve">
</t>
        </r>
      </text>
    </comment>
    <comment ref="B9" authorId="0">
      <text>
        <r>
          <rPr>
            <sz val="11"/>
            <rFont val="Times New Roman"/>
            <family val="1"/>
          </rPr>
          <t>Programmet antar at salgsvolumet er lik startårets volum i hele planperioden. Du kan imidlertid legge inn andre volum direkte. Legger du inn et volum for eksemplevis tredje driftsår (celle B11), gjelder dette volumet også for de resterende årene. Vil du ha et lavere volum senere, legger du inn dette i de årene det gjelder.</t>
        </r>
        <r>
          <rPr>
            <sz val="8"/>
            <rFont val="Tahoma"/>
            <family val="2"/>
          </rPr>
          <t xml:space="preserve">
</t>
        </r>
      </text>
    </comment>
    <comment ref="B28" authorId="0">
      <text>
        <r>
          <rPr>
            <sz val="11"/>
            <rFont val="Tahoma"/>
            <family val="2"/>
          </rPr>
          <t>jfr bokens del 2.5</t>
        </r>
        <r>
          <rPr>
            <sz val="8"/>
            <rFont val="Tahoma"/>
            <family val="2"/>
          </rPr>
          <t xml:space="preserve">
</t>
        </r>
      </text>
    </comment>
    <comment ref="A31" authorId="0">
      <text>
        <r>
          <rPr>
            <sz val="8"/>
            <rFont val="Tahoma"/>
            <family val="2"/>
          </rPr>
          <t xml:space="preserve">Forskjellen mellom serielån og annuitetslån er forklart i bokens del 2.9.
</t>
        </r>
      </text>
    </comment>
    <comment ref="A35" authorId="0">
      <text>
        <r>
          <rPr>
            <sz val="8"/>
            <rFont val="Tahoma"/>
            <family val="2"/>
          </rPr>
          <t xml:space="preserve">Forskjellen mellom serielån og annuitetslån er forklart i bokens del 2.8
</t>
        </r>
      </text>
    </comment>
    <comment ref="B40" authorId="0">
      <text>
        <r>
          <rPr>
            <sz val="11"/>
            <rFont val="Tahoma"/>
            <family val="2"/>
          </rPr>
          <t>Generell prisendring.
Forskjellen mellom generell og spesiell prisendring forklares i bokens del 2.5.
I utgangspunktet er alle de spesielle prisendringene (ferdigvarer, innsatsfaktorer og restverdi) satt lik den generelle. Disse spesielle satsene er angitt med rød font. De kan overstyres (jfr kommentar til celle C4).</t>
        </r>
      </text>
    </comment>
    <comment ref="B2" authorId="0">
      <text>
        <r>
          <rPr>
            <sz val="9"/>
            <rFont val="Tahoma"/>
            <family val="2"/>
          </rPr>
          <t xml:space="preserve">Begrenset til ti år. 
</t>
        </r>
      </text>
    </comment>
    <comment ref="A2" authorId="0">
      <text>
        <r>
          <rPr>
            <sz val="9"/>
            <rFont val="Tahoma"/>
            <family val="2"/>
          </rPr>
          <t xml:space="preserve">jfr bokens del 2.8
</t>
        </r>
      </text>
    </comment>
    <comment ref="A7" authorId="0">
      <text>
        <r>
          <rPr>
            <sz val="9"/>
            <rFont val="Tahoma"/>
            <family val="2"/>
          </rPr>
          <t xml:space="preserve">jfr bokens del 1.5.2
</t>
        </r>
      </text>
    </comment>
    <comment ref="C9" authorId="0">
      <text>
        <r>
          <rPr>
            <sz val="11"/>
            <rFont val="Tahoma"/>
            <family val="2"/>
          </rPr>
          <t>Her legger du inn første driftsår. Investeringene henføres til året før dette</t>
        </r>
        <r>
          <rPr>
            <sz val="9"/>
            <rFont val="Tahoma"/>
            <family val="2"/>
          </rPr>
          <t xml:space="preserve">
</t>
        </r>
      </text>
    </comment>
    <comment ref="C21" authorId="0">
      <text>
        <r>
          <rPr>
            <sz val="11"/>
            <rFont val="Tahoma"/>
            <family val="2"/>
          </rPr>
          <t>jfr kommentar til cellene C4 og B9</t>
        </r>
        <r>
          <rPr>
            <sz val="9"/>
            <rFont val="Tahoma"/>
            <family val="2"/>
          </rPr>
          <t xml:space="preserve">
</t>
        </r>
      </text>
    </comment>
    <comment ref="A23" authorId="0">
      <text>
        <r>
          <rPr>
            <sz val="11"/>
            <rFont val="Tahoma"/>
            <family val="2"/>
          </rPr>
          <t>Du kan legge inn investeringer i to saldogrupper. Beløp i cellene B24 og B25, saldosatsene i cellene G24 og G25.
Dessuten kan du legge inn en investering som kostnadsføres direkte.</t>
        </r>
        <r>
          <rPr>
            <sz val="9"/>
            <rFont val="Tahoma"/>
            <family val="2"/>
          </rPr>
          <t xml:space="preserve">
</t>
        </r>
      </text>
    </comment>
    <comment ref="C23" authorId="0">
      <text>
        <r>
          <rPr>
            <sz val="9"/>
            <rFont val="Tahoma"/>
            <family val="2"/>
          </rPr>
          <t xml:space="preserve">Restverdi er verdien av anleggsinvesteringene ved planhorisontens slutt (jfr bokens del 2.8). Beløpene legges inn med kjøpekraft som i startåret. De inflasjonsjusteres med generell prisstigning hvis du ikke angir en spesiell prisutvikling i cellene F24 og F25
</t>
        </r>
      </text>
    </comment>
    <comment ref="F24" authorId="0">
      <text>
        <r>
          <rPr>
            <sz val="9"/>
            <rFont val="Tahoma"/>
            <family val="2"/>
          </rPr>
          <t xml:space="preserve">jfr kommentar til cellene C4 og B9
</t>
        </r>
      </text>
    </comment>
    <comment ref="B5" authorId="0">
      <text>
        <r>
          <rPr>
            <sz val="11"/>
            <rFont val="Tahoma"/>
            <family val="2"/>
          </rPr>
          <t>Kostnader og utbetalinger legges inn med negativt fortegn</t>
        </r>
        <r>
          <rPr>
            <sz val="9"/>
            <rFont val="Tahoma"/>
            <family val="2"/>
          </rPr>
          <t xml:space="preserve">
</t>
        </r>
      </text>
    </comment>
    <comment ref="D3" authorId="0">
      <text>
        <r>
          <rPr>
            <sz val="9"/>
            <rFont val="Tahoma"/>
            <family val="2"/>
          </rPr>
          <t xml:space="preserve">Volumet for produkt 2 endres med en konstant prosent hvert år i hele planperioden. Denne satsen legges inn i celle E9. Satsen kan være både positiv, null og negativ.
</t>
        </r>
      </text>
    </comment>
    <comment ref="E9" authorId="0">
      <text>
        <r>
          <rPr>
            <sz val="11"/>
            <rFont val="Tahoma"/>
            <family val="2"/>
          </rPr>
          <t>jfr kommaentar til celle E3</t>
        </r>
        <r>
          <rPr>
            <sz val="9"/>
            <rFont val="Tahoma"/>
            <family val="2"/>
          </rPr>
          <t xml:space="preserve">
</t>
        </r>
      </text>
    </comment>
    <comment ref="B38" authorId="0">
      <text>
        <r>
          <rPr>
            <sz val="11"/>
            <rFont val="Tahoma"/>
            <family val="2"/>
          </rPr>
          <t xml:space="preserve">Hvis lånets løpetid er kortere enn planperioden, innfris hele restlånet ved planperiodens slutt. </t>
        </r>
        <r>
          <rPr>
            <sz val="9"/>
            <rFont val="Tahoma"/>
            <family val="2"/>
          </rPr>
          <t xml:space="preserve">
</t>
        </r>
      </text>
    </comment>
    <comment ref="H4" authorId="0">
      <text>
        <r>
          <rPr>
            <sz val="11"/>
            <rFont val="Tahoma"/>
            <family val="2"/>
          </rPr>
          <t>Budsjettet er satt opp som i bokens tabeller 2.17 og 2.18
Tallene for drift er hentet fra hjelpearket H-Drift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J4:N6 i hovedarket "Budsjett". Alle forutsetningene er hentet fra hovedarket og bør ikke endres her i hjelpearket.</t>
        </r>
      </text>
    </comment>
  </commentList>
</comments>
</file>

<file path=xl/comments3.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J12-S19 i hovedarket "Budsjett". 
Tallene ligger bare i linjene 12 og 19, linjene 13-18 er skjult når det bare vises produksjonsvolum for de fem første driftsåene.
Alle forutsetningene er hentet fra hovedarket og bør ikke endres her i hjelpearket.</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I22:S23 i hovedarket "Budsjett". 
Alle forutsetningene er hentet fra hovedarket og bør ikke endres her i hjelpearket.</t>
        </r>
        <r>
          <rPr>
            <sz val="9"/>
            <rFont val="Tahoma"/>
            <family val="2"/>
          </rPr>
          <t xml:space="preserve">
</t>
        </r>
      </text>
    </comment>
    <comment ref="D1" authorId="0">
      <text>
        <r>
          <rPr>
            <sz val="11"/>
            <rFont val="Tahoma"/>
            <family val="2"/>
          </rPr>
          <t>I dette hjelpearket beregnes tallene som inngår i cellene I23:S24 i hovedarket "Budsjett". 
Alle forutsetningene er hentet fra hovedarket og bør ikke endres her i hjelpearket.</t>
        </r>
        <r>
          <rPr>
            <sz val="9"/>
            <rFont val="Tahoma"/>
            <family val="2"/>
          </rPr>
          <t xml:space="preserve">
</t>
        </r>
      </text>
    </comment>
  </commentList>
</comments>
</file>

<file path=xl/sharedStrings.xml><?xml version="1.0" encoding="utf-8"?>
<sst xmlns="http://schemas.openxmlformats.org/spreadsheetml/2006/main" count="133" uniqueCount="99">
  <si>
    <t>Omsetning</t>
  </si>
  <si>
    <t>Les dette</t>
  </si>
  <si>
    <t>År</t>
  </si>
  <si>
    <t>Restverdi</t>
  </si>
  <si>
    <t>Salgspris</t>
  </si>
  <si>
    <t>Råmaterialer</t>
  </si>
  <si>
    <t>Produksjonslønn</t>
  </si>
  <si>
    <t>Maskiner</t>
  </si>
  <si>
    <t>Råmaterialer og innkjøpte deler</t>
  </si>
  <si>
    <t>Dekningsbidrag</t>
  </si>
  <si>
    <t>Faste utbetalinger</t>
  </si>
  <si>
    <t>Avdrag</t>
  </si>
  <si>
    <t>Avskrivninger</t>
  </si>
  <si>
    <t>Skatt</t>
  </si>
  <si>
    <t>c. Faste utbetalinger</t>
  </si>
  <si>
    <t>d. Anleggskapital, 1 000 kroner</t>
  </si>
  <si>
    <t>Saldosats</t>
  </si>
  <si>
    <t>Bokført verdi</t>
  </si>
  <si>
    <t>a. Produktkalkyle, kroner pr enhet</t>
  </si>
  <si>
    <t>Dekningsbidrag pr. enhet</t>
  </si>
  <si>
    <t>b. Salgsbudsjett, antall enheter</t>
  </si>
  <si>
    <t>Kontantstrøm til totalkapitalen før skatt</t>
  </si>
  <si>
    <t>Kontantstrøm til totalkapitalen*</t>
  </si>
  <si>
    <t>Kontantstrøm til egenkapitalen*</t>
  </si>
  <si>
    <t>* etter skatt hvis skattesats større enn null</t>
  </si>
  <si>
    <t>Annuitet</t>
  </si>
  <si>
    <t>Kapitalkostnad</t>
  </si>
  <si>
    <t>Bygninger</t>
  </si>
  <si>
    <t>Serielån</t>
  </si>
  <si>
    <t>Lånebeløp, 1 000 kroner</t>
  </si>
  <si>
    <t>Rentesats</t>
  </si>
  <si>
    <t>Løpetid, år</t>
  </si>
  <si>
    <t>Annuitetslån:</t>
  </si>
  <si>
    <t>Renter</t>
  </si>
  <si>
    <t>Kontantstrøm</t>
  </si>
  <si>
    <t>Annuitetslån</t>
  </si>
  <si>
    <t>Kontanstrøm</t>
  </si>
  <si>
    <t>Beløp</t>
  </si>
  <si>
    <t>Bygninger, 1 000 kroner</t>
  </si>
  <si>
    <t>Maskiner, 1000 kroner</t>
  </si>
  <si>
    <t>Kostnadsføres, 1 000 kroner</t>
  </si>
  <si>
    <t>Sum investering</t>
  </si>
  <si>
    <t>Bygning</t>
  </si>
  <si>
    <t>Avskrivning</t>
  </si>
  <si>
    <t>Resultat før skatt</t>
  </si>
  <si>
    <t>Låneopptak og restlån</t>
  </si>
  <si>
    <t>Totalkapital før skatt</t>
  </si>
  <si>
    <t>Serielån:</t>
  </si>
  <si>
    <t>Dersom du legger inn lån og/eller</t>
  </si>
  <si>
    <t xml:space="preserve">slik at hele kontanstrømmen </t>
  </si>
  <si>
    <t>blir nominell</t>
  </si>
  <si>
    <t>Produkt 2</t>
  </si>
  <si>
    <t>Produkt 1</t>
  </si>
  <si>
    <t>Planperiode</t>
  </si>
  <si>
    <t>år</t>
  </si>
  <si>
    <t>Investering anleggskapital</t>
  </si>
  <si>
    <t>Volum produkt 1</t>
  </si>
  <si>
    <t>Pris produkt 1</t>
  </si>
  <si>
    <t>Volum produkt 2</t>
  </si>
  <si>
    <t>Pris produkt 2</t>
  </si>
  <si>
    <t>Omsetning samlet</t>
  </si>
  <si>
    <t>Råmaterialer samlet</t>
  </si>
  <si>
    <t>Produksjonslønn samlet</t>
  </si>
  <si>
    <t>Råmaterialer pr enhet produkt 1</t>
  </si>
  <si>
    <t>Råmaterialer produkt 1, 1 000 kroner</t>
  </si>
  <si>
    <t>Omsetning produkt 1, 1 000 kroner</t>
  </si>
  <si>
    <t>Omsetning produkt 2, 1 000 kroner</t>
  </si>
  <si>
    <t>Råmaterialer pr enhet produkt 2</t>
  </si>
  <si>
    <t>Råmaterialer produkt 2, 1 000 kroner</t>
  </si>
  <si>
    <t>Produksjonslønn pr enhet produkt 1</t>
  </si>
  <si>
    <t>Produksjonslønn pr enhet produkt 2</t>
  </si>
  <si>
    <t>Produksjonslønn produkt 1, 1 000 kroner</t>
  </si>
  <si>
    <t>Produksjonslønn produkt 2, 1 000 kroner</t>
  </si>
  <si>
    <t>Investering arbeidskapital</t>
  </si>
  <si>
    <t>Hjelpelinje 2</t>
  </si>
  <si>
    <t>Hjelpelinje 1</t>
  </si>
  <si>
    <t>Meravskrivning</t>
  </si>
  <si>
    <t>Kostnadsførte investeringer</t>
  </si>
  <si>
    <t>Skattebesparelse renter</t>
  </si>
  <si>
    <t>Hjelpelinje 1 serielån</t>
  </si>
  <si>
    <t>Hjelpelinje 2 serielån</t>
  </si>
  <si>
    <t>Hjelpelinje 1 annuitetslån</t>
  </si>
  <si>
    <t>Hjelpelinje 2 annuitetslån</t>
  </si>
  <si>
    <t>Hjelpelinje 1 planperiode</t>
  </si>
  <si>
    <t>Hjelpelinje 2 planperiode</t>
  </si>
  <si>
    <t>Meravdrag</t>
  </si>
  <si>
    <t>Renter før skatt</t>
  </si>
  <si>
    <t>Internrenter</t>
  </si>
  <si>
    <t>Planhorisont</t>
  </si>
  <si>
    <t>forvnentet prisendring i Celle B40,</t>
  </si>
  <si>
    <t>skatt, må du passe på å legge inn</t>
  </si>
  <si>
    <t>d. Arbeidskapitalprosent</t>
  </si>
  <si>
    <t>e. Finansiering</t>
  </si>
  <si>
    <t>f. Prisendring</t>
  </si>
  <si>
    <t>g. Skattesats</t>
  </si>
  <si>
    <r>
      <t>Egenkapital</t>
    </r>
    <r>
      <rPr>
        <sz val="10"/>
        <color indexed="10"/>
        <rFont val="Arial"/>
        <family val="2"/>
      </rPr>
      <t>*</t>
    </r>
  </si>
  <si>
    <r>
      <t>Totalkapital</t>
    </r>
    <r>
      <rPr>
        <sz val="10"/>
        <color indexed="10"/>
        <rFont val="Arial"/>
        <family val="2"/>
      </rPr>
      <t>*</t>
    </r>
  </si>
  <si>
    <t>Restlån ette avdrag</t>
  </si>
  <si>
    <t>Restlån etter avdrag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</si>
</sst>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numFmt numFmtId="165" formatCode="_(* #,##0_);_(* \(#,##0\);_(* &quot;-&quot;??_);_(@_)"/>
    <numFmt numFmtId="166" formatCode="#,##0.0000"/>
  </numFmts>
  <fonts count="59">
    <font>
      <sz val="10"/>
      <name val="Arial"/>
      <family val="0"/>
    </font>
    <font>
      <sz val="11"/>
      <color indexed="8"/>
      <name val="Calibri"/>
      <family val="2"/>
    </font>
    <font>
      <b/>
      <sz val="10"/>
      <name val="Arial"/>
      <family val="2"/>
    </font>
    <font>
      <sz val="8"/>
      <name val="Arial"/>
      <family val="2"/>
    </font>
    <font>
      <sz val="8"/>
      <name val="Tahoma"/>
      <family val="2"/>
    </font>
    <font>
      <sz val="10"/>
      <color indexed="10"/>
      <name val="Arial"/>
      <family val="2"/>
    </font>
    <font>
      <b/>
      <sz val="14"/>
      <color indexed="10"/>
      <name val="Arial"/>
      <family val="2"/>
    </font>
    <font>
      <b/>
      <sz val="10"/>
      <color indexed="10"/>
      <name val="Arial"/>
      <family val="2"/>
    </font>
    <font>
      <i/>
      <sz val="10"/>
      <name val="Arial"/>
      <family val="2"/>
    </font>
    <font>
      <b/>
      <sz val="10"/>
      <color indexed="12"/>
      <name val="Arial"/>
      <family val="2"/>
    </font>
    <font>
      <b/>
      <sz val="10"/>
      <color indexed="14"/>
      <name val="Arial"/>
      <family val="2"/>
    </font>
    <font>
      <b/>
      <sz val="10"/>
      <color indexed="57"/>
      <name val="Arial"/>
      <family val="2"/>
    </font>
    <font>
      <sz val="12"/>
      <name val="Times New Roman"/>
      <family val="1"/>
    </font>
    <font>
      <sz val="11"/>
      <name val="Tahoma"/>
      <family val="2"/>
    </font>
    <font>
      <sz val="9"/>
      <name val="Tahoma"/>
      <family val="2"/>
    </font>
    <font>
      <sz val="11"/>
      <name val="Times New Roman"/>
      <family val="1"/>
    </font>
    <font>
      <b/>
      <sz val="11"/>
      <name val="Tahoma"/>
      <family val="2"/>
    </font>
    <font>
      <sz val="11"/>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36"/>
      <name val="Arial"/>
      <family val="2"/>
    </font>
    <font>
      <sz val="8"/>
      <color indexed="8"/>
      <name val="Arial"/>
      <family val="0"/>
    </font>
    <font>
      <sz val="9.6"/>
      <color indexed="8"/>
      <name val="Arial"/>
      <family val="0"/>
    </font>
    <font>
      <sz val="6.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5"/>
      <name val="Arial"/>
      <family val="2"/>
    </font>
    <font>
      <b/>
      <sz val="10"/>
      <color rgb="FF7030A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0" fillId="0" borderId="0" xfId="0" applyAlignment="1" quotePrefix="1">
      <alignment horizontal="left"/>
    </xf>
    <xf numFmtId="3" fontId="0" fillId="0" borderId="0" xfId="0" applyNumberFormat="1" applyAlignment="1">
      <alignment/>
    </xf>
    <xf numFmtId="3" fontId="2" fillId="0" borderId="0" xfId="0" applyNumberFormat="1" applyFont="1" applyAlignment="1">
      <alignment/>
    </xf>
    <xf numFmtId="0" fontId="2" fillId="0" borderId="0" xfId="0" applyFont="1" applyAlignment="1">
      <alignment/>
    </xf>
    <xf numFmtId="9" fontId="2" fillId="0" borderId="0" xfId="57" applyFont="1" applyAlignment="1">
      <alignment/>
    </xf>
    <xf numFmtId="9" fontId="2" fillId="0" borderId="0" xfId="0" applyNumberFormat="1" applyFont="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Alignment="1">
      <alignment horizontal="center"/>
    </xf>
    <xf numFmtId="9" fontId="0" fillId="0" borderId="0" xfId="0" applyNumberFormat="1" applyFont="1" applyAlignment="1">
      <alignment/>
    </xf>
    <xf numFmtId="1" fontId="0" fillId="0" borderId="0" xfId="0" applyNumberFormat="1" applyAlignment="1">
      <alignment/>
    </xf>
    <xf numFmtId="9" fontId="0" fillId="0" borderId="0" xfId="0" applyNumberFormat="1" applyAlignment="1">
      <alignment/>
    </xf>
    <xf numFmtId="165" fontId="2" fillId="0" borderId="0" xfId="42" applyNumberFormat="1" applyFont="1" applyAlignment="1">
      <alignment/>
    </xf>
    <xf numFmtId="166" fontId="0" fillId="0" borderId="0" xfId="0" applyNumberFormat="1" applyAlignment="1">
      <alignment/>
    </xf>
    <xf numFmtId="165" fontId="0" fillId="0" borderId="0" xfId="0" applyNumberFormat="1" applyAlignment="1">
      <alignment horizontal="center"/>
    </xf>
    <xf numFmtId="3" fontId="0" fillId="0" borderId="0" xfId="0" applyNumberFormat="1" applyAlignment="1" quotePrefix="1">
      <alignment horizontal="left"/>
    </xf>
    <xf numFmtId="9" fontId="0" fillId="0" borderId="0" xfId="57" applyFont="1" applyAlignment="1">
      <alignment/>
    </xf>
    <xf numFmtId="0" fontId="6" fillId="0" borderId="0" xfId="0" applyFont="1" applyAlignment="1">
      <alignment/>
    </xf>
    <xf numFmtId="0" fontId="7" fillId="0" borderId="0" xfId="0" applyFont="1" applyAlignment="1">
      <alignment/>
    </xf>
    <xf numFmtId="3" fontId="0" fillId="0" borderId="0" xfId="42" applyNumberFormat="1" applyAlignment="1">
      <alignment/>
    </xf>
    <xf numFmtId="9" fontId="0" fillId="0" borderId="0" xfId="57" applyAlignment="1">
      <alignment/>
    </xf>
    <xf numFmtId="1" fontId="0" fillId="0" borderId="0" xfId="42" applyNumberFormat="1" applyAlignment="1">
      <alignment/>
    </xf>
    <xf numFmtId="3" fontId="0" fillId="0" borderId="0" xfId="0" applyNumberFormat="1" applyFont="1" applyAlignment="1">
      <alignment/>
    </xf>
    <xf numFmtId="164" fontId="0" fillId="0" borderId="0" xfId="57" applyNumberFormat="1" applyFont="1" applyAlignment="1">
      <alignment/>
    </xf>
    <xf numFmtId="9" fontId="5" fillId="0" borderId="0" xfId="57" applyFont="1" applyAlignment="1">
      <alignment/>
    </xf>
    <xf numFmtId="9" fontId="5" fillId="0" borderId="0" xfId="0" applyNumberFormat="1" applyFont="1" applyAlignment="1">
      <alignment/>
    </xf>
    <xf numFmtId="3" fontId="5" fillId="0" borderId="0" xfId="0" applyNumberFormat="1" applyFont="1" applyAlignment="1">
      <alignment/>
    </xf>
    <xf numFmtId="9" fontId="5" fillId="0" borderId="0" xfId="0" applyNumberFormat="1" applyFont="1" applyAlignment="1">
      <alignment/>
    </xf>
    <xf numFmtId="164" fontId="2" fillId="0" borderId="0" xfId="0" applyNumberFormat="1" applyFont="1" applyAlignment="1">
      <alignment/>
    </xf>
    <xf numFmtId="165" fontId="0" fillId="0" borderId="0" xfId="42" applyNumberFormat="1" applyFont="1" applyAlignment="1">
      <alignment/>
    </xf>
    <xf numFmtId="0" fontId="8" fillId="0" borderId="0" xfId="0" applyFont="1" applyAlignment="1" quotePrefix="1">
      <alignment horizontal="left"/>
    </xf>
    <xf numFmtId="3" fontId="0" fillId="0" borderId="0" xfId="42" applyNumberFormat="1" applyFont="1" applyAlignment="1">
      <alignment/>
    </xf>
    <xf numFmtId="0" fontId="9" fillId="0" borderId="0" xfId="0" applyFont="1" applyAlignment="1" quotePrefix="1">
      <alignment horizontal="left"/>
    </xf>
    <xf numFmtId="3" fontId="9" fillId="0" borderId="0" xfId="0" applyNumberFormat="1" applyFont="1" applyAlignment="1">
      <alignment/>
    </xf>
    <xf numFmtId="3" fontId="10" fillId="0" borderId="0" xfId="0" applyNumberFormat="1" applyFont="1" applyAlignment="1">
      <alignment/>
    </xf>
    <xf numFmtId="0" fontId="11" fillId="0" borderId="0" xfId="0" applyFont="1" applyAlignment="1" quotePrefix="1">
      <alignment horizontal="left"/>
    </xf>
    <xf numFmtId="3" fontId="1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xf>
    <xf numFmtId="0" fontId="0" fillId="0" borderId="0" xfId="0" applyFont="1" applyAlignment="1" quotePrefix="1">
      <alignment horizontal="left"/>
    </xf>
    <xf numFmtId="9" fontId="9" fillId="0" borderId="0" xfId="57" applyFont="1" applyAlignment="1">
      <alignment/>
    </xf>
    <xf numFmtId="0" fontId="55" fillId="0" borderId="0" xfId="0" applyFont="1" applyAlignment="1" quotePrefix="1">
      <alignment horizontal="left"/>
    </xf>
    <xf numFmtId="0" fontId="8" fillId="0" borderId="0" xfId="0" applyFont="1" applyAlignment="1">
      <alignment/>
    </xf>
    <xf numFmtId="0" fontId="56" fillId="0" borderId="0" xfId="0" applyFont="1" applyAlignment="1">
      <alignment/>
    </xf>
    <xf numFmtId="0" fontId="0" fillId="0" borderId="0" xfId="0" applyAlignment="1">
      <alignment horizontal="right"/>
    </xf>
    <xf numFmtId="0" fontId="57" fillId="0" borderId="0" xfId="0" applyFont="1" applyAlignment="1" quotePrefix="1">
      <alignment horizontal="left"/>
    </xf>
    <xf numFmtId="3" fontId="57" fillId="0" borderId="0" xfId="0" applyNumberFormat="1" applyFont="1" applyAlignment="1">
      <alignment/>
    </xf>
    <xf numFmtId="3" fontId="55" fillId="0" borderId="0" xfId="0" applyNumberFormat="1" applyFont="1" applyAlignment="1">
      <alignment/>
    </xf>
    <xf numFmtId="0" fontId="57" fillId="0" borderId="0" xfId="0" applyFont="1" applyAlignment="1">
      <alignment/>
    </xf>
    <xf numFmtId="0" fontId="0"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Nåverdiprofiler</a:t>
            </a:r>
          </a:p>
        </c:rich>
      </c:tx>
      <c:layout>
        <c:manualLayout>
          <c:xMode val="factor"/>
          <c:yMode val="factor"/>
          <c:x val="-0.0015"/>
          <c:y val="-0.00975"/>
        </c:manualLayout>
      </c:layout>
      <c:spPr>
        <a:noFill/>
        <a:ln w="3175">
          <a:noFill/>
        </a:ln>
      </c:spPr>
    </c:title>
    <c:plotArea>
      <c:layout>
        <c:manualLayout>
          <c:xMode val="edge"/>
          <c:yMode val="edge"/>
          <c:x val="0.056"/>
          <c:y val="0.0535"/>
          <c:w val="0.5995"/>
          <c:h val="0.89275"/>
        </c:manualLayout>
      </c:layout>
      <c:lineChart>
        <c:grouping val="standard"/>
        <c:varyColors val="0"/>
        <c:ser>
          <c:idx val="0"/>
          <c:order val="0"/>
          <c:tx>
            <c:strRef>
              <c:f>Budsjett!$H$30</c:f>
              <c:strCache>
                <c:ptCount val="1"/>
                <c:pt idx="0">
                  <c:v>Totalkapital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Budsjett!$I$30:$N$30</c:f>
              <c:numCache/>
            </c:numRef>
          </c:val>
          <c:smooth val="0"/>
        </c:ser>
        <c:ser>
          <c:idx val="1"/>
          <c:order val="1"/>
          <c:tx>
            <c:strRef>
              <c:f>Budsjett!$H$31</c:f>
              <c:strCache>
                <c:ptCount val="1"/>
                <c:pt idx="0">
                  <c:v>Totalkapital*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Budsjett!$I$31:$N$31</c:f>
              <c:numCache/>
            </c:numRef>
          </c:val>
          <c:smooth val="0"/>
        </c:ser>
        <c:ser>
          <c:idx val="2"/>
          <c:order val="2"/>
          <c:tx>
            <c:strRef>
              <c:f>Budsjett!$H$32</c:f>
              <c:strCache>
                <c:ptCount val="1"/>
                <c:pt idx="0">
                  <c:v>Egenkapital*</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Budsjett!$I$32:$N$32</c:f>
              <c:numCache/>
            </c:numRef>
          </c:val>
          <c:smooth val="0"/>
        </c:ser>
        <c:marker val="1"/>
        <c:axId val="17461396"/>
        <c:axId val="22934837"/>
      </c:lineChart>
      <c:catAx>
        <c:axId val="1746139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Kapitalkostnad</a:t>
                </a:r>
              </a:p>
            </c:rich>
          </c:tx>
          <c:layout>
            <c:manualLayout>
              <c:xMode val="factor"/>
              <c:yMode val="factor"/>
              <c:x val="0.005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2934837"/>
        <c:crosses val="autoZero"/>
        <c:auto val="1"/>
        <c:lblOffset val="100"/>
        <c:tickLblSkip val="1"/>
        <c:noMultiLvlLbl val="0"/>
      </c:catAx>
      <c:valAx>
        <c:axId val="22934837"/>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02"/>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7461396"/>
        <c:crossesAt val="1"/>
        <c:crossBetween val="midCat"/>
        <c:dispUnits/>
      </c:valAx>
      <c:spPr>
        <a:solidFill>
          <a:srgbClr val="FFFFFF"/>
        </a:solidFill>
        <a:ln w="3175">
          <a:noFill/>
        </a:ln>
      </c:spPr>
    </c:plotArea>
    <c:legend>
      <c:legendPos val="r"/>
      <c:layout>
        <c:manualLayout>
          <c:xMode val="edge"/>
          <c:yMode val="edge"/>
          <c:x val="0.6775"/>
          <c:y val="0.3975"/>
          <c:w val="0.31175"/>
          <c:h val="0.205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Kontantstrømmer</a:t>
            </a:r>
          </a:p>
        </c:rich>
      </c:tx>
      <c:layout>
        <c:manualLayout>
          <c:xMode val="factor"/>
          <c:yMode val="factor"/>
          <c:x val="-0.0025"/>
          <c:y val="-0.0075"/>
        </c:manualLayout>
      </c:layout>
      <c:spPr>
        <a:noFill/>
        <a:ln w="3175">
          <a:noFill/>
        </a:ln>
      </c:spPr>
    </c:title>
    <c:plotArea>
      <c:layout>
        <c:manualLayout>
          <c:xMode val="edge"/>
          <c:yMode val="edge"/>
          <c:x val="0"/>
          <c:y val="0.05125"/>
          <c:w val="0.6675"/>
          <c:h val="0.89725"/>
        </c:manualLayout>
      </c:layout>
      <c:lineChart>
        <c:grouping val="standard"/>
        <c:varyColors val="0"/>
        <c:ser>
          <c:idx val="0"/>
          <c:order val="0"/>
          <c:tx>
            <c:strRef>
              <c:f>Budsjett!$H$12</c:f>
              <c:strCache>
                <c:ptCount val="1"/>
                <c:pt idx="0">
                  <c:v>Kontantstrøm til totalkapitalen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Budsjett!$I$12:$S$12</c:f>
              <c:numCache/>
            </c:numRef>
          </c:val>
          <c:smooth val="0"/>
        </c:ser>
        <c:ser>
          <c:idx val="1"/>
          <c:order val="1"/>
          <c:tx>
            <c:strRef>
              <c:f>Budsjett!$H$22</c:f>
              <c:strCache>
                <c:ptCount val="1"/>
                <c:pt idx="0">
                  <c:v>Kontantstrøm til totalkapitalen*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Budsjett!$I$22:$S$22</c:f>
              <c:numCache/>
            </c:numRef>
          </c:val>
          <c:smooth val="0"/>
        </c:ser>
        <c:ser>
          <c:idx val="2"/>
          <c:order val="2"/>
          <c:tx>
            <c:strRef>
              <c:f>Budsjett!$H$27</c:f>
              <c:strCache>
                <c:ptCount val="1"/>
                <c:pt idx="0">
                  <c:v>Kontantstrøm til egenkapitalen*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Budsjett!$I$27:$S$27</c:f>
              <c:numCache/>
            </c:numRef>
          </c:val>
          <c:smooth val="0"/>
        </c:ser>
        <c:marker val="1"/>
        <c:axId val="5086942"/>
        <c:axId val="45782479"/>
      </c:lineChart>
      <c:catAx>
        <c:axId val="508694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År, 20xx</a:t>
                </a:r>
              </a:p>
            </c:rich>
          </c:tx>
          <c:layout>
            <c:manualLayout>
              <c:xMode val="factor"/>
              <c:yMode val="factor"/>
              <c:x val="0.00625"/>
              <c:y val="-0.006"/>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5782479"/>
        <c:crosses val="autoZero"/>
        <c:auto val="1"/>
        <c:lblOffset val="100"/>
        <c:tickLblSkip val="1"/>
        <c:noMultiLvlLbl val="0"/>
      </c:catAx>
      <c:valAx>
        <c:axId val="45782479"/>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105"/>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086942"/>
        <c:crossesAt val="1"/>
        <c:crossBetween val="midCat"/>
        <c:dispUnits/>
      </c:valAx>
      <c:spPr>
        <a:solidFill>
          <a:srgbClr val="FFFFFF"/>
        </a:solidFill>
        <a:ln w="3175">
          <a:noFill/>
        </a:ln>
      </c:spPr>
    </c:plotArea>
    <c:legend>
      <c:legendPos val="r"/>
      <c:layout>
        <c:manualLayout>
          <c:xMode val="edge"/>
          <c:yMode val="edge"/>
          <c:x val="0.64775"/>
          <c:y val="0.39625"/>
          <c:w val="0.329"/>
          <c:h val="0.30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34</xdr:row>
      <xdr:rowOff>85725</xdr:rowOff>
    </xdr:from>
    <xdr:to>
      <xdr:col>22</xdr:col>
      <xdr:colOff>171450</xdr:colOff>
      <xdr:row>53</xdr:row>
      <xdr:rowOff>19050</xdr:rowOff>
    </xdr:to>
    <xdr:graphicFrame>
      <xdr:nvGraphicFramePr>
        <xdr:cNvPr id="1" name="Chart 7"/>
        <xdr:cNvGraphicFramePr/>
      </xdr:nvGraphicFramePr>
      <xdr:xfrm>
        <a:off x="7353300" y="4781550"/>
        <a:ext cx="6229350" cy="30099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35</xdr:row>
      <xdr:rowOff>142875</xdr:rowOff>
    </xdr:from>
    <xdr:to>
      <xdr:col>8</xdr:col>
      <xdr:colOff>123825</xdr:colOff>
      <xdr:row>52</xdr:row>
      <xdr:rowOff>47625</xdr:rowOff>
    </xdr:to>
    <xdr:graphicFrame>
      <xdr:nvGraphicFramePr>
        <xdr:cNvPr id="2" name="Chart 9"/>
        <xdr:cNvGraphicFramePr/>
      </xdr:nvGraphicFramePr>
      <xdr:xfrm>
        <a:off x="3200400" y="5000625"/>
        <a:ext cx="3790950" cy="2657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A1" sqref="A1"/>
    </sheetView>
  </sheetViews>
  <sheetFormatPr defaultColWidth="9.140625" defaultRowHeight="12.75" outlineLevelRow="1" outlineLevelCol="1"/>
  <cols>
    <col min="1" max="1" width="30.00390625" style="0" customWidth="1"/>
    <col min="3" max="3" width="8.8515625" style="0" customWidth="1"/>
    <col min="4" max="5" width="8.8515625" style="0" hidden="1" customWidth="1" outlineLevel="1"/>
    <col min="6" max="6" width="6.8515625" style="0" customWidth="1" collapsed="1"/>
    <col min="7" max="7" width="9.28125" style="0" customWidth="1"/>
    <col min="8" max="8" width="38.8515625" style="0" customWidth="1"/>
    <col min="9" max="9" width="10.57421875" style="0" customWidth="1"/>
    <col min="10" max="10" width="10.7109375" style="0" bestFit="1" customWidth="1"/>
    <col min="11" max="11" width="10.28125" style="0" bestFit="1" customWidth="1"/>
    <col min="15" max="18" width="9.140625" style="0" hidden="1" customWidth="1" outlineLevel="1"/>
    <col min="19" max="19" width="9.140625" style="0" customWidth="1" collapsed="1"/>
    <col min="20" max="20" width="10.00390625" style="0" customWidth="1"/>
    <col min="21" max="21" width="10.8515625" style="0" customWidth="1"/>
  </cols>
  <sheetData>
    <row r="1" ht="12.75">
      <c r="A1" s="39" t="s">
        <v>1</v>
      </c>
    </row>
    <row r="2" spans="1:19" ht="12.75">
      <c r="A2" s="39" t="s">
        <v>88</v>
      </c>
      <c r="B2" s="4">
        <v>5</v>
      </c>
      <c r="C2" s="39" t="s">
        <v>54</v>
      </c>
      <c r="I2" s="53" t="s">
        <v>2</v>
      </c>
      <c r="J2" s="53"/>
      <c r="K2" s="53"/>
      <c r="L2" s="53"/>
      <c r="M2" s="53"/>
      <c r="N2" s="53"/>
      <c r="O2" s="53"/>
      <c r="P2" s="53"/>
      <c r="Q2" s="53"/>
      <c r="R2" s="53"/>
      <c r="S2" s="53"/>
    </row>
    <row r="3" spans="1:19" ht="12.75">
      <c r="A3" s="32" t="s">
        <v>18</v>
      </c>
      <c r="B3" s="52" t="s">
        <v>52</v>
      </c>
      <c r="C3" s="52"/>
      <c r="D3" s="52" t="s">
        <v>51</v>
      </c>
      <c r="E3" s="52"/>
      <c r="I3">
        <f>C9-1</f>
        <v>2010</v>
      </c>
      <c r="J3">
        <f aca="true" t="shared" si="0" ref="J3:S3">I3+1</f>
        <v>2011</v>
      </c>
      <c r="K3">
        <f t="shared" si="0"/>
        <v>2012</v>
      </c>
      <c r="L3">
        <f t="shared" si="0"/>
        <v>2013</v>
      </c>
      <c r="M3">
        <f t="shared" si="0"/>
        <v>2014</v>
      </c>
      <c r="N3">
        <f t="shared" si="0"/>
        <v>2015</v>
      </c>
      <c r="O3">
        <f t="shared" si="0"/>
        <v>2016</v>
      </c>
      <c r="P3">
        <f t="shared" si="0"/>
        <v>2017</v>
      </c>
      <c r="Q3">
        <f t="shared" si="0"/>
        <v>2018</v>
      </c>
      <c r="R3">
        <f t="shared" si="0"/>
        <v>2019</v>
      </c>
      <c r="S3">
        <f t="shared" si="0"/>
        <v>2020</v>
      </c>
    </row>
    <row r="4" spans="1:20" ht="12.75">
      <c r="A4" t="s">
        <v>4</v>
      </c>
      <c r="B4" s="3">
        <v>11000</v>
      </c>
      <c r="C4" s="26">
        <f>$B$40</f>
        <v>0.03</v>
      </c>
      <c r="D4" s="3">
        <v>5000</v>
      </c>
      <c r="E4" s="26">
        <f>$B$40</f>
        <v>0.03</v>
      </c>
      <c r="F4" s="5"/>
      <c r="H4" t="s">
        <v>0</v>
      </c>
      <c r="I4" s="2"/>
      <c r="J4" s="2">
        <f>'H-Drift'!B9</f>
        <v>10500</v>
      </c>
      <c r="K4" s="2">
        <f>'H-Drift'!C9</f>
        <v>11021</v>
      </c>
      <c r="L4" s="2">
        <f>'H-Drift'!D9</f>
        <v>11572.2972</v>
      </c>
      <c r="M4" s="2">
        <f>'H-Drift'!E9</f>
        <v>12155.84482064</v>
      </c>
      <c r="N4" s="2">
        <f>'H-Drift'!F9</f>
        <v>12773.72903366957</v>
      </c>
      <c r="O4" s="2">
        <f>'H-Drift'!G9</f>
        <v>0</v>
      </c>
      <c r="P4" s="2">
        <f>'H-Drift'!H9</f>
        <v>0</v>
      </c>
      <c r="Q4" s="2">
        <f>'H-Drift'!I9</f>
        <v>0</v>
      </c>
      <c r="R4" s="2">
        <f>'H-Drift'!J9</f>
        <v>0</v>
      </c>
      <c r="S4" s="2">
        <f>'H-Drift'!K9</f>
        <v>0</v>
      </c>
      <c r="T4" s="2"/>
    </row>
    <row r="5" spans="1:20" ht="12.75">
      <c r="A5" s="1" t="s">
        <v>8</v>
      </c>
      <c r="B5" s="3">
        <v>-5500</v>
      </c>
      <c r="C5" s="26">
        <f>$B$40</f>
        <v>0.03</v>
      </c>
      <c r="D5" s="3">
        <v>-1500</v>
      </c>
      <c r="E5" s="26">
        <f>$B$40</f>
        <v>0.03</v>
      </c>
      <c r="F5" s="11"/>
      <c r="H5" t="s">
        <v>5</v>
      </c>
      <c r="I5" s="2"/>
      <c r="J5" s="2">
        <f>'H-Drift'!B14</f>
        <v>-4250</v>
      </c>
      <c r="K5" s="2">
        <f>'H-Drift'!C14</f>
        <v>-4439.3</v>
      </c>
      <c r="L5" s="2">
        <f>'H-Drift'!D14</f>
        <v>-4638.67916</v>
      </c>
      <c r="M5" s="2">
        <f>'H-Drift'!E14</f>
        <v>-4848.753146192001</v>
      </c>
      <c r="N5" s="2">
        <f>'H-Drift'!F14</f>
        <v>-5070.17840110087</v>
      </c>
      <c r="O5" s="2">
        <f>'H-Drift'!G14</f>
        <v>0</v>
      </c>
      <c r="P5" s="2">
        <f>'H-Drift'!H14</f>
        <v>0</v>
      </c>
      <c r="Q5" s="2">
        <f>'H-Drift'!I14</f>
        <v>0</v>
      </c>
      <c r="R5" s="2">
        <f>'H-Drift'!J14</f>
        <v>0</v>
      </c>
      <c r="S5" s="2">
        <f>'H-Drift'!K14</f>
        <v>0</v>
      </c>
      <c r="T5" s="2"/>
    </row>
    <row r="6" spans="1:20" ht="12.75">
      <c r="A6" t="s">
        <v>6</v>
      </c>
      <c r="B6" s="3">
        <v>-1700</v>
      </c>
      <c r="C6" s="26">
        <f>$B$40</f>
        <v>0.03</v>
      </c>
      <c r="D6" s="3">
        <v>-1200</v>
      </c>
      <c r="E6" s="26">
        <f>$B$40</f>
        <v>0.03</v>
      </c>
      <c r="F6" s="11"/>
      <c r="H6" t="s">
        <v>6</v>
      </c>
      <c r="I6" s="2"/>
      <c r="J6" s="2">
        <f>'H-Drift'!B19</f>
        <v>-2050</v>
      </c>
      <c r="K6" s="2">
        <f>'H-Drift'!C19</f>
        <v>-2160.94</v>
      </c>
      <c r="L6" s="2">
        <f>'H-Drift'!D19</f>
        <v>-2278.728328</v>
      </c>
      <c r="M6" s="2">
        <f>'H-Drift'!E19</f>
        <v>-2403.8210669536006</v>
      </c>
      <c r="N6" s="2">
        <f>'H-Drift'!F19</f>
        <v>-2536.7058273806965</v>
      </c>
      <c r="O6" s="2">
        <f>'H-Drift'!G19</f>
        <v>0</v>
      </c>
      <c r="P6" s="2">
        <f>'H-Drift'!H19</f>
        <v>0</v>
      </c>
      <c r="Q6" s="2">
        <f>'H-Drift'!I19</f>
        <v>0</v>
      </c>
      <c r="R6" s="2">
        <f>'H-Drift'!J19</f>
        <v>0</v>
      </c>
      <c r="S6" s="2">
        <f>'H-Drift'!K19</f>
        <v>0</v>
      </c>
      <c r="T6" s="2"/>
    </row>
    <row r="7" spans="1:20" ht="12.75">
      <c r="A7" s="1" t="s">
        <v>19</v>
      </c>
      <c r="B7" s="2">
        <f>SUM(B4:B6)</f>
        <v>3800</v>
      </c>
      <c r="D7" s="2">
        <f>SUM(D4:D6)</f>
        <v>2300</v>
      </c>
      <c r="H7" t="s">
        <v>9</v>
      </c>
      <c r="I7" s="2"/>
      <c r="J7" s="2">
        <f aca="true" t="shared" si="1" ref="J7:S7">SUM(J4:J6)</f>
        <v>4200</v>
      </c>
      <c r="K7" s="2">
        <f t="shared" si="1"/>
        <v>4420.76</v>
      </c>
      <c r="L7" s="2">
        <f t="shared" si="1"/>
        <v>4654.889712000001</v>
      </c>
      <c r="M7" s="2">
        <f t="shared" si="1"/>
        <v>4903.2706074944</v>
      </c>
      <c r="N7" s="2">
        <f t="shared" si="1"/>
        <v>5166.844805188002</v>
      </c>
      <c r="O7" s="2">
        <f t="shared" si="1"/>
        <v>0</v>
      </c>
      <c r="P7" s="2">
        <f t="shared" si="1"/>
        <v>0</v>
      </c>
      <c r="Q7" s="2">
        <f t="shared" si="1"/>
        <v>0</v>
      </c>
      <c r="R7" s="2">
        <f t="shared" si="1"/>
        <v>0</v>
      </c>
      <c r="S7" s="2">
        <f t="shared" si="1"/>
        <v>0</v>
      </c>
      <c r="T7" s="2"/>
    </row>
    <row r="8" spans="3:20" ht="12.75">
      <c r="C8" s="10" t="s">
        <v>2</v>
      </c>
      <c r="D8" s="10"/>
      <c r="E8" s="10"/>
      <c r="F8" s="10"/>
      <c r="H8" t="s">
        <v>10</v>
      </c>
      <c r="I8" s="2"/>
      <c r="J8" s="2">
        <f>IF(J3-$J$3&lt;$B$2,$B$21*(1+$C$21)^(J3-$J$3),0)</f>
        <v>-1100</v>
      </c>
      <c r="K8" s="2">
        <f aca="true" t="shared" si="2" ref="K8:S8">IF(K3-$J$3&lt;$B$2,$B$21*(1+$C$21)^(K3-$J$3),0)</f>
        <v>-1133</v>
      </c>
      <c r="L8" s="2">
        <f t="shared" si="2"/>
        <v>-1166.99</v>
      </c>
      <c r="M8" s="2">
        <f t="shared" si="2"/>
        <v>-1201.9997</v>
      </c>
      <c r="N8" s="2">
        <f t="shared" si="2"/>
        <v>-1238.059691</v>
      </c>
      <c r="O8" s="2">
        <f t="shared" si="2"/>
        <v>0</v>
      </c>
      <c r="P8" s="2">
        <f t="shared" si="2"/>
        <v>0</v>
      </c>
      <c r="Q8" s="2">
        <f t="shared" si="2"/>
        <v>0</v>
      </c>
      <c r="R8" s="2">
        <f t="shared" si="2"/>
        <v>0</v>
      </c>
      <c r="S8" s="2">
        <f t="shared" si="2"/>
        <v>0</v>
      </c>
      <c r="T8" s="2"/>
    </row>
    <row r="9" spans="1:20" ht="12.75">
      <c r="A9" s="32" t="s">
        <v>20</v>
      </c>
      <c r="B9" s="3">
        <v>500</v>
      </c>
      <c r="C9" s="4">
        <v>2011</v>
      </c>
      <c r="D9" s="4">
        <v>1000</v>
      </c>
      <c r="E9" s="6">
        <v>0.04</v>
      </c>
      <c r="F9" s="4"/>
      <c r="G9" s="6"/>
      <c r="H9" s="39" t="s">
        <v>73</v>
      </c>
      <c r="I9" s="2">
        <f>-J4*B28</f>
        <v>-1050</v>
      </c>
      <c r="J9" s="2">
        <f>-(K4-J4)*$B$28</f>
        <v>-52.1</v>
      </c>
      <c r="K9" s="2">
        <f aca="true" t="shared" si="3" ref="K9:S9">-(L4-K4)*$B$28</f>
        <v>-55.12972000000009</v>
      </c>
      <c r="L9" s="2">
        <f t="shared" si="3"/>
        <v>-58.35476206399999</v>
      </c>
      <c r="M9" s="2">
        <f t="shared" si="3"/>
        <v>-61.78842130295689</v>
      </c>
      <c r="N9" s="2">
        <f t="shared" si="3"/>
        <v>1277.372903366957</v>
      </c>
      <c r="O9" s="2">
        <f t="shared" si="3"/>
        <v>0</v>
      </c>
      <c r="P9" s="2">
        <f t="shared" si="3"/>
        <v>0</v>
      </c>
      <c r="Q9" s="2">
        <f t="shared" si="3"/>
        <v>0</v>
      </c>
      <c r="R9" s="2">
        <f t="shared" si="3"/>
        <v>0</v>
      </c>
      <c r="S9" s="2">
        <f t="shared" si="3"/>
        <v>0</v>
      </c>
      <c r="T9" s="2"/>
    </row>
    <row r="10" spans="2:21" ht="12.75">
      <c r="B10" s="28">
        <f>IF((C10-$C$9)&lt;B$2,B9,0)</f>
        <v>500</v>
      </c>
      <c r="C10">
        <f aca="true" t="shared" si="4" ref="C10:C18">C9+1</f>
        <v>2012</v>
      </c>
      <c r="D10" s="33">
        <f>IF(C10-$C$9&lt;$B$2,D9*(1+$E$9),0)</f>
        <v>1040</v>
      </c>
      <c r="G10" s="6"/>
      <c r="H10" s="40" t="s">
        <v>55</v>
      </c>
      <c r="I10" s="2">
        <f>'H-Avs'!B6</f>
        <v>-11500</v>
      </c>
      <c r="J10" s="2"/>
      <c r="K10" s="2"/>
      <c r="L10" s="2"/>
      <c r="M10" s="2"/>
      <c r="N10" s="2"/>
      <c r="O10" s="2"/>
      <c r="P10" s="2"/>
      <c r="Q10" s="2"/>
      <c r="R10" s="2"/>
      <c r="S10" s="2"/>
      <c r="T10" s="2"/>
      <c r="U10" s="2"/>
    </row>
    <row r="11" spans="2:20" ht="12.75">
      <c r="B11" s="28">
        <f aca="true" t="shared" si="5" ref="B11:B18">IF((C11-$C$9)&lt;B$2,B10,0)</f>
        <v>500</v>
      </c>
      <c r="C11">
        <f t="shared" si="4"/>
        <v>2013</v>
      </c>
      <c r="D11" s="33">
        <f>IF(C11-$C$9&lt;$B$2,D10*(1+$E$9),0)</f>
        <v>1081.6000000000001</v>
      </c>
      <c r="G11" s="13"/>
      <c r="H11" s="40" t="s">
        <v>3</v>
      </c>
      <c r="I11" s="2"/>
      <c r="J11" s="2">
        <f>'H-Avs'!C12+'H-Avs'!C18</f>
        <v>0</v>
      </c>
      <c r="K11" s="2">
        <f>'H-Avs'!D12+'H-Avs'!D18</f>
        <v>0</v>
      </c>
      <c r="L11" s="2">
        <f>'H-Avs'!E12+'H-Avs'!E18</f>
        <v>0</v>
      </c>
      <c r="M11" s="2">
        <f>'H-Avs'!F12+'H-Avs'!F18</f>
        <v>0</v>
      </c>
      <c r="N11" s="2">
        <f>'H-Avs'!G12+'H-Avs'!G18</f>
        <v>4727.1370019999995</v>
      </c>
      <c r="O11" s="2">
        <f>'H-Avs'!H12+'H-Avs'!H18</f>
        <v>0</v>
      </c>
      <c r="P11" s="2">
        <f>'H-Avs'!I12+'H-Avs'!I18</f>
        <v>0</v>
      </c>
      <c r="Q11" s="2">
        <f>'H-Avs'!J12+'H-Avs'!J18</f>
        <v>0</v>
      </c>
      <c r="R11" s="2">
        <f>'H-Avs'!K13+'H-Avs'!K18</f>
        <v>0</v>
      </c>
      <c r="S11" s="2">
        <f>'H-Avs'!L13+'H-Avs'!L18</f>
        <v>0</v>
      </c>
      <c r="T11" s="39" t="s">
        <v>87</v>
      </c>
    </row>
    <row r="12" spans="2:22" ht="12.75">
      <c r="B12" s="28">
        <f t="shared" si="5"/>
        <v>500</v>
      </c>
      <c r="C12">
        <f t="shared" si="4"/>
        <v>2014</v>
      </c>
      <c r="D12" s="33">
        <f aca="true" t="shared" si="6" ref="D12:D18">IF(C12-$C$9&lt;$B$2,D11*(1+$E$9),0)</f>
        <v>1124.8640000000003</v>
      </c>
      <c r="G12" s="13"/>
      <c r="H12" s="34" t="s">
        <v>21</v>
      </c>
      <c r="I12" s="35">
        <f aca="true" t="shared" si="7" ref="I12:S12">SUM(I7:I11)</f>
        <v>-12550</v>
      </c>
      <c r="J12" s="35">
        <f t="shared" si="7"/>
        <v>3047.9</v>
      </c>
      <c r="K12" s="35">
        <f t="shared" si="7"/>
        <v>3232.6302800000003</v>
      </c>
      <c r="L12" s="35">
        <f t="shared" si="7"/>
        <v>3429.544949936001</v>
      </c>
      <c r="M12" s="35">
        <f t="shared" si="7"/>
        <v>3639.4824861914426</v>
      </c>
      <c r="N12" s="35">
        <f t="shared" si="7"/>
        <v>9933.295019554958</v>
      </c>
      <c r="O12" s="35">
        <f t="shared" si="7"/>
        <v>0</v>
      </c>
      <c r="P12" s="35">
        <f t="shared" si="7"/>
        <v>0</v>
      </c>
      <c r="Q12" s="35">
        <f t="shared" si="7"/>
        <v>0</v>
      </c>
      <c r="R12" s="35">
        <f t="shared" si="7"/>
        <v>0</v>
      </c>
      <c r="S12" s="35">
        <f t="shared" si="7"/>
        <v>0</v>
      </c>
      <c r="T12" s="43">
        <f>IRR(I12:S12)</f>
        <v>0.19899944435707687</v>
      </c>
      <c r="U12" s="13"/>
      <c r="V12" s="2"/>
    </row>
    <row r="13" spans="2:20" ht="12.75">
      <c r="B13" s="28">
        <f t="shared" si="5"/>
        <v>500</v>
      </c>
      <c r="C13">
        <f t="shared" si="4"/>
        <v>2015</v>
      </c>
      <c r="D13" s="33">
        <f t="shared" si="6"/>
        <v>1169.8585600000004</v>
      </c>
      <c r="G13" s="13"/>
      <c r="H13" s="9" t="s">
        <v>12</v>
      </c>
      <c r="I13" s="2"/>
      <c r="J13" s="2">
        <f>'H-Avs'!C10+'H-Avs'!C16+B26</f>
        <v>-1652</v>
      </c>
      <c r="K13" s="2">
        <f>'H-Avs'!D10+'H-Avs'!D16</f>
        <v>-757.9200000000001</v>
      </c>
      <c r="L13" s="2">
        <f>'H-Avs'!E10+'H-Avs'!E16</f>
        <v>-618.4032</v>
      </c>
      <c r="M13" s="2">
        <f>'H-Avs'!F10+'H-Avs'!F16</f>
        <v>-517.227072</v>
      </c>
      <c r="N13" s="2">
        <f>'H-Avs'!G10+'H-Avs'!G16</f>
        <v>-443.02998912</v>
      </c>
      <c r="O13" s="2">
        <f>'H-Avs'!H10+'H-Avs'!H16</f>
        <v>0</v>
      </c>
      <c r="P13" s="2">
        <f>'H-Avs'!I10+'H-Avs'!I16</f>
        <v>0</v>
      </c>
      <c r="Q13" s="2">
        <f>'H-Avs'!J10+'H-Avs'!J16</f>
        <v>0</v>
      </c>
      <c r="R13" s="2">
        <f>'H-Avs'!K10+'H-Avs'!K16</f>
        <v>0</v>
      </c>
      <c r="S13" s="2">
        <f>'H-Avs'!L10+'H-Avs'!L16</f>
        <v>0</v>
      </c>
      <c r="T13" s="2"/>
    </row>
    <row r="14" spans="2:20" ht="12.75" hidden="1" outlineLevel="1">
      <c r="B14" s="28">
        <f t="shared" si="5"/>
        <v>0</v>
      </c>
      <c r="C14">
        <f t="shared" si="4"/>
        <v>2016</v>
      </c>
      <c r="D14" s="33">
        <f t="shared" si="6"/>
        <v>0</v>
      </c>
      <c r="G14" s="13"/>
      <c r="T14" s="2"/>
    </row>
    <row r="15" spans="2:20" ht="12.75" hidden="1" outlineLevel="1">
      <c r="B15" s="28">
        <f t="shared" si="5"/>
        <v>0</v>
      </c>
      <c r="C15">
        <f t="shared" si="4"/>
        <v>2017</v>
      </c>
      <c r="D15" s="33">
        <f t="shared" si="6"/>
        <v>0</v>
      </c>
      <c r="G15" s="13"/>
      <c r="T15" s="2"/>
    </row>
    <row r="16" spans="2:20" ht="12.75" hidden="1" outlineLevel="1">
      <c r="B16" s="28">
        <f t="shared" si="5"/>
        <v>0</v>
      </c>
      <c r="C16">
        <f t="shared" si="4"/>
        <v>2018</v>
      </c>
      <c r="D16" s="33">
        <f t="shared" si="6"/>
        <v>0</v>
      </c>
      <c r="G16" s="13"/>
      <c r="T16" s="2"/>
    </row>
    <row r="17" spans="2:20" ht="12.75" hidden="1" outlineLevel="1">
      <c r="B17" s="28">
        <f t="shared" si="5"/>
        <v>0</v>
      </c>
      <c r="C17">
        <f t="shared" si="4"/>
        <v>2019</v>
      </c>
      <c r="D17" s="33">
        <f t="shared" si="6"/>
        <v>0</v>
      </c>
      <c r="G17" s="13"/>
      <c r="T17" s="2"/>
    </row>
    <row r="18" spans="2:20" ht="12.75" hidden="1" outlineLevel="1">
      <c r="B18" s="28">
        <f t="shared" si="5"/>
        <v>0</v>
      </c>
      <c r="C18">
        <f t="shared" si="4"/>
        <v>2020</v>
      </c>
      <c r="D18" s="33">
        <f t="shared" si="6"/>
        <v>0</v>
      </c>
      <c r="G18" s="13"/>
      <c r="T18" s="2"/>
    </row>
    <row r="19" spans="2:21" ht="12.75" collapsed="1">
      <c r="B19" s="28"/>
      <c r="G19" s="13"/>
      <c r="H19" s="39" t="s">
        <v>76</v>
      </c>
      <c r="J19" s="2">
        <f>'H-Avs'!C13+'H-Avs'!C19</f>
        <v>0</v>
      </c>
      <c r="K19" s="2">
        <f>'H-Avs'!D13+'H-Avs'!D19</f>
        <v>0</v>
      </c>
      <c r="L19" s="2">
        <f>'H-Avs'!E13+'H-Avs'!E19</f>
        <v>0</v>
      </c>
      <c r="M19" s="2">
        <f>'H-Avs'!F13+'H-Avs'!F19</f>
        <v>0</v>
      </c>
      <c r="N19" s="2">
        <f>'H-Avs'!G13+'H-Avs'!G19</f>
        <v>-7511.41973888</v>
      </c>
      <c r="O19" s="2">
        <f>'H-Avs'!H13+'H-Avs'!H19</f>
        <v>0</v>
      </c>
      <c r="P19" s="2">
        <f>'H-Avs'!I13+'H-Avs'!I19</f>
        <v>0</v>
      </c>
      <c r="Q19" s="2">
        <f>'H-Avs'!J13+'H-Avs'!J19</f>
        <v>0</v>
      </c>
      <c r="R19" s="2">
        <f>'H-Avs'!K13+'H-Avs'!K19</f>
        <v>0</v>
      </c>
      <c r="S19" s="2">
        <f>'H-Avs'!L13+'H-Avs'!L19</f>
        <v>0</v>
      </c>
      <c r="T19" s="2"/>
      <c r="U19" s="13"/>
    </row>
    <row r="20" spans="3:21" ht="12.75">
      <c r="C20" s="11"/>
      <c r="D20" s="11"/>
      <c r="E20" s="11"/>
      <c r="F20" s="11"/>
      <c r="H20" s="9" t="s">
        <v>44</v>
      </c>
      <c r="I20" s="2"/>
      <c r="J20" s="2">
        <f>J7+J8+J13+J19</f>
        <v>1448</v>
      </c>
      <c r="K20" s="2">
        <f aca="true" t="shared" si="8" ref="K20:S20">K7+K8+K13+K19</f>
        <v>2529.84</v>
      </c>
      <c r="L20" s="2">
        <f t="shared" si="8"/>
        <v>2869.4965120000015</v>
      </c>
      <c r="M20" s="2">
        <f t="shared" si="8"/>
        <v>3184.0438354943994</v>
      </c>
      <c r="N20" s="2">
        <f t="shared" si="8"/>
        <v>-4025.6646138119977</v>
      </c>
      <c r="O20" s="2">
        <f t="shared" si="8"/>
        <v>0</v>
      </c>
      <c r="P20" s="2">
        <f t="shared" si="8"/>
        <v>0</v>
      </c>
      <c r="Q20" s="2">
        <f t="shared" si="8"/>
        <v>0</v>
      </c>
      <c r="R20" s="2">
        <f t="shared" si="8"/>
        <v>0</v>
      </c>
      <c r="S20" s="2">
        <f t="shared" si="8"/>
        <v>0</v>
      </c>
      <c r="T20" s="2"/>
      <c r="U20" s="2"/>
    </row>
    <row r="21" spans="1:23" ht="12.75">
      <c r="A21" s="32" t="s">
        <v>14</v>
      </c>
      <c r="B21" s="3">
        <v>-1100</v>
      </c>
      <c r="C21" s="29">
        <f>B40</f>
        <v>0.03</v>
      </c>
      <c r="D21" s="29"/>
      <c r="E21" s="29"/>
      <c r="H21" s="9" t="s">
        <v>13</v>
      </c>
      <c r="I21" s="2"/>
      <c r="J21" s="2">
        <f>-J20*$B$41</f>
        <v>-405.44000000000005</v>
      </c>
      <c r="K21" s="2">
        <f aca="true" t="shared" si="9" ref="K21:S21">-K20*$B$41</f>
        <v>-708.3552000000001</v>
      </c>
      <c r="L21" s="2">
        <f t="shared" si="9"/>
        <v>-803.4590233600005</v>
      </c>
      <c r="M21" s="2">
        <f t="shared" si="9"/>
        <v>-891.5322739384319</v>
      </c>
      <c r="N21" s="2">
        <f t="shared" si="9"/>
        <v>1127.1860918673594</v>
      </c>
      <c r="O21" s="2">
        <f t="shared" si="9"/>
        <v>0</v>
      </c>
      <c r="P21" s="2">
        <f t="shared" si="9"/>
        <v>0</v>
      </c>
      <c r="Q21" s="2">
        <f t="shared" si="9"/>
        <v>0</v>
      </c>
      <c r="R21" s="2">
        <f t="shared" si="9"/>
        <v>0</v>
      </c>
      <c r="S21" s="2">
        <f t="shared" si="9"/>
        <v>0</v>
      </c>
      <c r="T21" s="36"/>
      <c r="U21" s="13"/>
      <c r="V21" s="2"/>
      <c r="W21" s="2"/>
    </row>
    <row r="22" spans="8:20" ht="12.75">
      <c r="H22" s="44" t="s">
        <v>22</v>
      </c>
      <c r="I22" s="50">
        <f>I12-I21</f>
        <v>-12550</v>
      </c>
      <c r="J22" s="50">
        <f aca="true" t="shared" si="10" ref="J22:S22">J12+J21</f>
        <v>2642.46</v>
      </c>
      <c r="K22" s="50">
        <f t="shared" si="10"/>
        <v>2524.2750800000003</v>
      </c>
      <c r="L22" s="50">
        <f t="shared" si="10"/>
        <v>2626.0859265760005</v>
      </c>
      <c r="M22" s="50">
        <f t="shared" si="10"/>
        <v>2747.9502122530107</v>
      </c>
      <c r="N22" s="50">
        <f t="shared" si="10"/>
        <v>11060.481111422318</v>
      </c>
      <c r="O22" s="49">
        <f t="shared" si="10"/>
        <v>0</v>
      </c>
      <c r="P22" s="49">
        <f t="shared" si="10"/>
        <v>0</v>
      </c>
      <c r="Q22" s="49">
        <f t="shared" si="10"/>
        <v>0</v>
      </c>
      <c r="R22" s="49">
        <f t="shared" si="10"/>
        <v>0</v>
      </c>
      <c r="S22" s="49">
        <f t="shared" si="10"/>
        <v>0</v>
      </c>
      <c r="T22" s="43">
        <f>IRR(I22:S22)</f>
        <v>0.161877017391773</v>
      </c>
    </row>
    <row r="23" spans="1:23" ht="12.75">
      <c r="A23" s="32" t="s">
        <v>15</v>
      </c>
      <c r="B23" s="1"/>
      <c r="C23" t="s">
        <v>3</v>
      </c>
      <c r="G23" t="s">
        <v>16</v>
      </c>
      <c r="H23" s="1" t="s">
        <v>45</v>
      </c>
      <c r="I23" s="2">
        <f>Budsjett!B32+Budsjett!B36</f>
        <v>9000</v>
      </c>
      <c r="J23" s="2">
        <f>'H-Lån'!F8+'H-Lån'!F16</f>
        <v>0</v>
      </c>
      <c r="K23" s="2">
        <f>'H-Lån'!G8+'H-Lån'!G16</f>
        <v>0</v>
      </c>
      <c r="L23" s="2">
        <f>'H-Lån'!H8+'H-Lån'!H16</f>
        <v>0</v>
      </c>
      <c r="M23" s="2">
        <f>'H-Lån'!I8+'H-Lån'!I16</f>
        <v>0</v>
      </c>
      <c r="N23" s="2">
        <f>'H-Lån'!J8+'H-Lån'!J16</f>
        <v>-1874.9999999999918</v>
      </c>
      <c r="O23" s="2">
        <f>'H-Lån'!K8+'H-Lån'!K16</f>
        <v>0</v>
      </c>
      <c r="P23" s="2">
        <f>'H-Lån'!L8+'H-Lån'!L16</f>
        <v>0</v>
      </c>
      <c r="Q23" s="2">
        <f>'H-Lån'!M8+'H-Lån'!M16</f>
        <v>0</v>
      </c>
      <c r="R23" s="2">
        <f>'H-Lån'!N8+'H-Lån'!N16</f>
        <v>0</v>
      </c>
      <c r="S23" s="2">
        <f>'H-Lån'!O8+'H-Lån'!O16</f>
        <v>0</v>
      </c>
      <c r="T23" s="2"/>
      <c r="U23" s="2"/>
      <c r="V23" s="12"/>
      <c r="W23" s="2"/>
    </row>
    <row r="24" spans="1:22" ht="12.75">
      <c r="A24" s="1" t="s">
        <v>27</v>
      </c>
      <c r="B24" s="3">
        <v>-8800</v>
      </c>
      <c r="C24" s="3">
        <v>3200</v>
      </c>
      <c r="D24" s="4"/>
      <c r="E24" s="4"/>
      <c r="F24" s="27">
        <f>$B$40</f>
        <v>0.03</v>
      </c>
      <c r="G24" s="6">
        <v>0.04</v>
      </c>
      <c r="H24" s="9" t="s">
        <v>11</v>
      </c>
      <c r="I24" s="2"/>
      <c r="J24" s="2">
        <f>'H-Lån'!F7+'H-Lån'!F15</f>
        <v>-1356.16655801785</v>
      </c>
      <c r="K24" s="2">
        <f>'H-Lån'!G7+'H-Lån'!G15</f>
        <v>-1389.0690531286534</v>
      </c>
      <c r="L24" s="2">
        <f>'H-Lån'!H7+'H-Lån'!H15</f>
        <v>-1423.4521605194427</v>
      </c>
      <c r="M24" s="2">
        <f>'H-Lån'!I7+'H-Lån'!I15</f>
        <v>-1459.3825077428178</v>
      </c>
      <c r="N24" s="2">
        <f>'H-Lån'!J7+'H-Lån'!J15</f>
        <v>-1496.9297205912444</v>
      </c>
      <c r="O24" s="2">
        <f>'H-Lån'!K7+'H-Lån'!K15</f>
        <v>0</v>
      </c>
      <c r="P24" s="2">
        <f>'H-Lån'!L7+'H-Lån'!L15</f>
        <v>0</v>
      </c>
      <c r="Q24" s="2">
        <f>'H-Lån'!M7+'H-Lån'!M15</f>
        <v>0</v>
      </c>
      <c r="R24" s="2">
        <f>'H-Lån'!N7+'H-Lån'!N15</f>
        <v>0</v>
      </c>
      <c r="S24" s="2">
        <f>'H-Lån'!O7+'H-Lån'!O15</f>
        <v>0</v>
      </c>
      <c r="T24" s="2"/>
      <c r="U24" s="2"/>
      <c r="V24" s="2"/>
    </row>
    <row r="25" spans="1:23" ht="12.75">
      <c r="A25" t="s">
        <v>7</v>
      </c>
      <c r="B25" s="3">
        <v>-2000</v>
      </c>
      <c r="C25" s="3">
        <v>1000</v>
      </c>
      <c r="D25" s="4"/>
      <c r="E25" s="4"/>
      <c r="F25" s="27">
        <f>$B$40</f>
        <v>0.03</v>
      </c>
      <c r="G25" s="6">
        <v>0.3</v>
      </c>
      <c r="H25" s="42" t="s">
        <v>86</v>
      </c>
      <c r="I25" s="2"/>
      <c r="J25" s="2">
        <f>'H-Lån'!F6+'H-Lån'!F14</f>
        <v>-480</v>
      </c>
      <c r="K25" s="2">
        <f>'H-Lån'!G6+'H-Lån'!G14</f>
        <v>-409.5975048891967</v>
      </c>
      <c r="L25" s="2">
        <f>'H-Lån'!H6+'H-Lån'!H14</f>
        <v>-337.7143974984074</v>
      </c>
      <c r="M25" s="2">
        <f>'H-Lån'!I6+'H-Lån'!I14</f>
        <v>-264.2840502750324</v>
      </c>
      <c r="N25" s="2">
        <f>'H-Lån'!J6+'H-Lån'!J14</f>
        <v>-189.23683742660563</v>
      </c>
      <c r="O25" s="2">
        <f>'H-Lån'!K6+'H-Lån'!K14</f>
        <v>0</v>
      </c>
      <c r="P25" s="2">
        <f>'H-Lån'!L6+'H-Lån'!L14</f>
        <v>0</v>
      </c>
      <c r="Q25" s="2">
        <f>'H-Lån'!M6+'H-Lån'!M14</f>
        <v>0</v>
      </c>
      <c r="R25" s="2">
        <f>'H-Lån'!N6+'H-Lån'!N14</f>
        <v>0</v>
      </c>
      <c r="S25" s="2">
        <f>'H-Lån'!O6+'H-Lån'!O14</f>
        <v>0</v>
      </c>
      <c r="T25" s="38"/>
      <c r="U25" s="13"/>
      <c r="V25" s="2"/>
      <c r="W25" s="2"/>
    </row>
    <row r="26" spans="1:19" ht="12.75">
      <c r="A26" s="39" t="s">
        <v>77</v>
      </c>
      <c r="B26" s="3">
        <v>-700</v>
      </c>
      <c r="C26" s="3"/>
      <c r="G26" s="13">
        <v>1</v>
      </c>
      <c r="H26" s="39" t="s">
        <v>78</v>
      </c>
      <c r="J26" s="2">
        <f>-J25*$B$41</f>
        <v>134.4</v>
      </c>
      <c r="K26" s="2">
        <f aca="true" t="shared" si="11" ref="K26:S26">-K25*$B$41</f>
        <v>114.6873013689751</v>
      </c>
      <c r="L26" s="2">
        <f t="shared" si="11"/>
        <v>94.56003129955407</v>
      </c>
      <c r="M26" s="2">
        <f t="shared" si="11"/>
        <v>73.99953407700909</v>
      </c>
      <c r="N26" s="2">
        <f t="shared" si="11"/>
        <v>52.98631447944958</v>
      </c>
      <c r="O26" s="2">
        <f t="shared" si="11"/>
        <v>0</v>
      </c>
      <c r="P26" s="2">
        <f t="shared" si="11"/>
        <v>0</v>
      </c>
      <c r="Q26" s="2">
        <f t="shared" si="11"/>
        <v>0</v>
      </c>
      <c r="R26" s="2">
        <f t="shared" si="11"/>
        <v>0</v>
      </c>
      <c r="S26" s="2">
        <f t="shared" si="11"/>
        <v>0</v>
      </c>
    </row>
    <row r="27" spans="2:20" ht="12.75">
      <c r="B27" s="2"/>
      <c r="H27" s="37" t="s">
        <v>23</v>
      </c>
      <c r="I27" s="38">
        <f>SUM(I22:I25)</f>
        <v>-3550</v>
      </c>
      <c r="J27" s="38">
        <f aca="true" t="shared" si="12" ref="J27:S27">SUM(J22:J25)</f>
        <v>806.29344198215</v>
      </c>
      <c r="K27" s="38">
        <f t="shared" si="12"/>
        <v>725.6085219821503</v>
      </c>
      <c r="L27" s="38">
        <f t="shared" si="12"/>
        <v>864.9193685581504</v>
      </c>
      <c r="M27" s="38">
        <f t="shared" si="12"/>
        <v>1024.2836542351606</v>
      </c>
      <c r="N27" s="38">
        <f t="shared" si="12"/>
        <v>7499.314553404477</v>
      </c>
      <c r="O27" s="38">
        <f t="shared" si="12"/>
        <v>0</v>
      </c>
      <c r="P27" s="38">
        <f t="shared" si="12"/>
        <v>0</v>
      </c>
      <c r="Q27" s="38">
        <f t="shared" si="12"/>
        <v>0</v>
      </c>
      <c r="R27" s="38">
        <f t="shared" si="12"/>
        <v>0</v>
      </c>
      <c r="S27" s="38">
        <f t="shared" si="12"/>
        <v>0</v>
      </c>
      <c r="T27" s="43">
        <f>IRR(I27:S27)</f>
        <v>0.32624666644636624</v>
      </c>
    </row>
    <row r="28" spans="1:21" ht="12.75">
      <c r="A28" s="32" t="s">
        <v>91</v>
      </c>
      <c r="B28" s="6">
        <v>0.1</v>
      </c>
      <c r="H28" s="46"/>
      <c r="P28" s="18"/>
      <c r="Q28" s="18"/>
      <c r="R28" s="18"/>
      <c r="S28" s="18"/>
      <c r="T28" s="2"/>
      <c r="U28" s="2"/>
    </row>
    <row r="29" spans="8:21" ht="12.75">
      <c r="H29" s="9" t="s">
        <v>26</v>
      </c>
      <c r="I29" s="2">
        <v>0</v>
      </c>
      <c r="J29" s="5">
        <v>0.07</v>
      </c>
      <c r="K29" s="18">
        <f>J29+$J$29</f>
        <v>0.14</v>
      </c>
      <c r="L29" s="18">
        <f>K29+$J$29</f>
        <v>0.21000000000000002</v>
      </c>
      <c r="M29" s="18">
        <f>L29+$J$29</f>
        <v>0.28</v>
      </c>
      <c r="N29" s="18">
        <f>M29+$J$29</f>
        <v>0.35000000000000003</v>
      </c>
      <c r="O29" s="18"/>
      <c r="P29" s="2"/>
      <c r="Q29" s="2"/>
      <c r="R29" s="2"/>
      <c r="S29" s="2"/>
      <c r="T29" s="2"/>
      <c r="U29" s="2"/>
    </row>
    <row r="30" spans="1:21" ht="12.75">
      <c r="A30" s="32" t="s">
        <v>92</v>
      </c>
      <c r="H30" s="1" t="s">
        <v>46</v>
      </c>
      <c r="I30" s="2">
        <f aca="true" t="shared" si="13" ref="I30:N30">NPV(I$29,$I$12:$N$12)*(1+I$29)</f>
        <v>10732.852735682402</v>
      </c>
      <c r="J30" s="2">
        <f t="shared" si="13"/>
        <v>5780.385243695286</v>
      </c>
      <c r="K30" s="2">
        <f t="shared" si="13"/>
        <v>2239.753644885629</v>
      </c>
      <c r="L30" s="2">
        <f t="shared" si="13"/>
        <v>-359.69500985269315</v>
      </c>
      <c r="M30" s="2">
        <f t="shared" si="13"/>
        <v>-2313.670493778276</v>
      </c>
      <c r="N30" s="2">
        <f t="shared" si="13"/>
        <v>-3813.659333115362</v>
      </c>
      <c r="O30" s="2"/>
      <c r="P30" s="2"/>
      <c r="Q30" s="2"/>
      <c r="R30" s="2"/>
      <c r="S30" s="2"/>
      <c r="T30" s="2"/>
      <c r="U30" s="2"/>
    </row>
    <row r="31" spans="1:21" ht="12.75">
      <c r="A31" s="1" t="s">
        <v>47</v>
      </c>
      <c r="H31" s="42" t="s">
        <v>96</v>
      </c>
      <c r="I31" s="2">
        <f aca="true" t="shared" si="14" ref="I31:N31">NPV(I$29,$I$22:$N$22)*(1+I$29)</f>
        <v>9051.252330251327</v>
      </c>
      <c r="J31" s="2">
        <f t="shared" si="14"/>
        <v>4250.424997887701</v>
      </c>
      <c r="K31" s="2">
        <f t="shared" si="14"/>
        <v>854.3027008322069</v>
      </c>
      <c r="L31" s="2">
        <f t="shared" si="14"/>
        <v>-1613.4445471786712</v>
      </c>
      <c r="M31" s="2">
        <f t="shared" si="14"/>
        <v>-3449.9526383128104</v>
      </c>
      <c r="N31" s="2">
        <f t="shared" si="14"/>
        <v>-4846.2514249808955</v>
      </c>
      <c r="O31" s="2"/>
      <c r="P31" s="2"/>
      <c r="Q31" s="2"/>
      <c r="R31" s="2"/>
      <c r="S31" s="2"/>
      <c r="U31" s="2"/>
    </row>
    <row r="32" spans="1:15" ht="12.75">
      <c r="A32" t="s">
        <v>29</v>
      </c>
      <c r="B32" s="3">
        <v>5000</v>
      </c>
      <c r="H32" s="42" t="s">
        <v>95</v>
      </c>
      <c r="I32" s="2">
        <f aca="true" t="shared" si="15" ref="I32:N32">NPV(I$29,$I$27:$N$27)*(1+I$29)</f>
        <v>7370.419540162088</v>
      </c>
      <c r="J32" s="2">
        <f t="shared" si="15"/>
        <v>4671.680429553278</v>
      </c>
      <c r="K32" s="2">
        <f t="shared" si="15"/>
        <v>2800.770216063039</v>
      </c>
      <c r="L32" s="2">
        <f t="shared" si="15"/>
        <v>1469.3293210204138</v>
      </c>
      <c r="M32" s="2">
        <f t="shared" si="15"/>
        <v>499.38192952131635</v>
      </c>
      <c r="N32" s="2">
        <f t="shared" si="15"/>
        <v>-222.23917529746947</v>
      </c>
      <c r="O32" s="2"/>
    </row>
    <row r="33" spans="1:21" ht="12.75">
      <c r="A33" t="s">
        <v>30</v>
      </c>
      <c r="B33" s="30">
        <v>0.06</v>
      </c>
      <c r="F33" s="20"/>
      <c r="U33" s="2"/>
    </row>
    <row r="34" spans="1:8" ht="12.75">
      <c r="A34" t="s">
        <v>31</v>
      </c>
      <c r="B34" s="4">
        <v>8</v>
      </c>
      <c r="C34" s="20"/>
      <c r="D34" s="20"/>
      <c r="E34" s="20"/>
      <c r="H34" s="48" t="s">
        <v>24</v>
      </c>
    </row>
    <row r="35" spans="1:2" ht="12.75">
      <c r="A35" s="9" t="s">
        <v>32</v>
      </c>
      <c r="B35" s="14"/>
    </row>
    <row r="36" spans="1:7" ht="12.75">
      <c r="A36" t="s">
        <v>29</v>
      </c>
      <c r="B36" s="3">
        <v>4000</v>
      </c>
      <c r="G36" s="2"/>
    </row>
    <row r="37" spans="1:6" ht="12.75">
      <c r="A37" t="s">
        <v>30</v>
      </c>
      <c r="B37" s="30">
        <v>0.045</v>
      </c>
      <c r="F37" s="20"/>
    </row>
    <row r="38" spans="1:7" ht="12.75">
      <c r="A38" t="s">
        <v>31</v>
      </c>
      <c r="B38" s="4">
        <v>5</v>
      </c>
      <c r="C38" s="20"/>
      <c r="D38" s="20"/>
      <c r="E38" s="20"/>
      <c r="G38" s="15"/>
    </row>
    <row r="40" spans="1:2" ht="12.75">
      <c r="A40" s="45" t="s">
        <v>93</v>
      </c>
      <c r="B40" s="6">
        <v>0.03</v>
      </c>
    </row>
    <row r="41" spans="1:19" ht="12.75">
      <c r="A41" s="45" t="s">
        <v>94</v>
      </c>
      <c r="B41" s="6">
        <v>0.28</v>
      </c>
      <c r="J41">
        <f>J3-2000</f>
        <v>11</v>
      </c>
      <c r="K41">
        <f aca="true" t="shared" si="16" ref="K41:S41">K3-2000</f>
        <v>12</v>
      </c>
      <c r="L41">
        <f t="shared" si="16"/>
        <v>13</v>
      </c>
      <c r="M41">
        <f t="shared" si="16"/>
        <v>14</v>
      </c>
      <c r="N41">
        <f t="shared" si="16"/>
        <v>15</v>
      </c>
      <c r="O41">
        <f t="shared" si="16"/>
        <v>16</v>
      </c>
      <c r="P41">
        <f t="shared" si="16"/>
        <v>17</v>
      </c>
      <c r="Q41">
        <f t="shared" si="16"/>
        <v>18</v>
      </c>
      <c r="R41">
        <f t="shared" si="16"/>
        <v>19</v>
      </c>
      <c r="S41">
        <f t="shared" si="16"/>
        <v>20</v>
      </c>
    </row>
    <row r="42" spans="10:19" ht="12.75">
      <c r="J42" s="13">
        <f aca="true" t="shared" si="17" ref="J42:R42">J29</f>
        <v>0.07</v>
      </c>
      <c r="K42" s="13">
        <f t="shared" si="17"/>
        <v>0.14</v>
      </c>
      <c r="L42" s="13">
        <f t="shared" si="17"/>
        <v>0.21000000000000002</v>
      </c>
      <c r="M42" s="13">
        <f t="shared" si="17"/>
        <v>0.28</v>
      </c>
      <c r="N42" s="13">
        <f t="shared" si="17"/>
        <v>0.35000000000000003</v>
      </c>
      <c r="O42" s="13">
        <f t="shared" si="17"/>
        <v>0</v>
      </c>
      <c r="P42" s="13">
        <f t="shared" si="17"/>
        <v>0</v>
      </c>
      <c r="Q42" s="13">
        <f t="shared" si="17"/>
        <v>0</v>
      </c>
      <c r="R42" s="13">
        <f t="shared" si="17"/>
        <v>0</v>
      </c>
      <c r="S42" s="13"/>
    </row>
    <row r="43" ht="12.75">
      <c r="A43" s="48" t="s">
        <v>48</v>
      </c>
    </row>
    <row r="44" ht="12.75">
      <c r="A44" s="48" t="s">
        <v>90</v>
      </c>
    </row>
    <row r="45" ht="12.75">
      <c r="A45" s="48" t="s">
        <v>89</v>
      </c>
    </row>
    <row r="46" ht="12.75">
      <c r="A46" s="48" t="s">
        <v>49</v>
      </c>
    </row>
    <row r="47" ht="12.75">
      <c r="A47" s="51" t="s">
        <v>50</v>
      </c>
    </row>
    <row r="52" ht="12.75">
      <c r="G52" s="1"/>
    </row>
    <row r="53" ht="12.75">
      <c r="G53" s="32"/>
    </row>
    <row r="56" spans="2:8" ht="12.75">
      <c r="B56" s="2"/>
      <c r="C56" s="2"/>
      <c r="D56" s="2"/>
      <c r="E56" s="2"/>
      <c r="F56" s="2"/>
      <c r="G56" s="2"/>
      <c r="H56" s="2"/>
    </row>
    <row r="57" spans="3:10" ht="12.75">
      <c r="C57" s="31"/>
      <c r="D57" s="31"/>
      <c r="E57" s="31"/>
      <c r="F57" s="31"/>
      <c r="G57" s="31"/>
      <c r="H57" s="31"/>
      <c r="I57" s="31"/>
      <c r="J57" s="31"/>
    </row>
    <row r="60" ht="12.75">
      <c r="G60" s="1"/>
    </row>
    <row r="61" ht="12.75">
      <c r="G61" s="1"/>
    </row>
    <row r="74" ht="12.75">
      <c r="I74" s="7"/>
    </row>
    <row r="75" spans="10:12" ht="12.75">
      <c r="J75" s="2"/>
      <c r="K75" s="2"/>
      <c r="L75" s="2"/>
    </row>
    <row r="76" spans="10:12" ht="12.75">
      <c r="J76" s="7"/>
      <c r="K76" s="7"/>
      <c r="L76" s="7"/>
    </row>
    <row r="77" spans="8:12" ht="12.75">
      <c r="H77" s="8"/>
      <c r="J77" s="16"/>
      <c r="K77" s="16"/>
      <c r="L77" s="16"/>
    </row>
    <row r="78" spans="10:12" ht="12.75">
      <c r="J78" s="7"/>
      <c r="K78" s="7"/>
      <c r="L78" s="7"/>
    </row>
    <row r="79" spans="8:12" ht="12.75">
      <c r="H79" s="2"/>
      <c r="I79" s="2"/>
      <c r="J79" s="2"/>
      <c r="K79" s="2"/>
      <c r="L79" s="2"/>
    </row>
    <row r="82" spans="10:13" ht="12.75">
      <c r="J82" s="13"/>
      <c r="K82" s="13"/>
      <c r="L82" s="13"/>
      <c r="M82" s="13"/>
    </row>
    <row r="83" spans="8:13" ht="12.75">
      <c r="H83" s="2"/>
      <c r="I83" s="2"/>
      <c r="J83" s="2"/>
      <c r="K83" s="2"/>
      <c r="L83" s="2"/>
      <c r="M83" s="2"/>
    </row>
    <row r="84" spans="8:13" ht="12.75">
      <c r="H84" s="2"/>
      <c r="I84" s="2"/>
      <c r="J84" s="2"/>
      <c r="K84" s="2"/>
      <c r="L84" s="2"/>
      <c r="M84" s="2"/>
    </row>
    <row r="85" spans="8:13" ht="12.75">
      <c r="H85" s="17"/>
      <c r="I85" s="2"/>
      <c r="J85" s="2"/>
      <c r="K85" s="2"/>
      <c r="L85" s="2"/>
      <c r="M85" s="2"/>
    </row>
    <row r="86" spans="8:11" ht="12.75">
      <c r="H86" s="2"/>
      <c r="I86" s="2"/>
      <c r="J86" s="2"/>
      <c r="K86" s="2"/>
    </row>
    <row r="87" spans="8:13" ht="12.75">
      <c r="H87" s="2"/>
      <c r="I87" s="2"/>
      <c r="J87" s="18"/>
      <c r="K87" s="18"/>
      <c r="L87" s="18"/>
      <c r="M87" s="18"/>
    </row>
    <row r="89" ht="12.75">
      <c r="I89" s="2"/>
    </row>
  </sheetData>
  <sheetProtection/>
  <mergeCells count="3">
    <mergeCell ref="B3:C3"/>
    <mergeCell ref="D3:E3"/>
    <mergeCell ref="I2:S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36.28125" style="0" customWidth="1"/>
    <col min="2" max="2" width="9.7109375" style="0" bestFit="1" customWidth="1"/>
  </cols>
  <sheetData>
    <row r="1" spans="1:11" ht="12.75">
      <c r="A1" s="39" t="s">
        <v>1</v>
      </c>
      <c r="B1" s="52" t="s">
        <v>2</v>
      </c>
      <c r="C1" s="52"/>
      <c r="D1" s="52"/>
      <c r="E1" s="52"/>
      <c r="F1" s="52"/>
      <c r="G1" s="52"/>
      <c r="H1" s="52"/>
      <c r="I1" s="52"/>
      <c r="J1" s="52"/>
      <c r="K1" s="52"/>
    </row>
    <row r="2" spans="2:11" ht="12.75">
      <c r="B2">
        <f>Budsjett!J3</f>
        <v>2011</v>
      </c>
      <c r="C2">
        <f>Budsjett!K3</f>
        <v>2012</v>
      </c>
      <c r="D2">
        <f>Budsjett!L3</f>
        <v>2013</v>
      </c>
      <c r="E2">
        <f>Budsjett!M3</f>
        <v>2014</v>
      </c>
      <c r="F2">
        <f>Budsjett!N3</f>
        <v>2015</v>
      </c>
      <c r="G2">
        <f>Budsjett!O3</f>
        <v>2016</v>
      </c>
      <c r="H2">
        <f>Budsjett!P3</f>
        <v>2017</v>
      </c>
      <c r="I2">
        <f>Budsjett!Q3</f>
        <v>2018</v>
      </c>
      <c r="J2">
        <f>Budsjett!R3</f>
        <v>2019</v>
      </c>
      <c r="K2">
        <f>Budsjett!S3</f>
        <v>2020</v>
      </c>
    </row>
    <row r="3" spans="1:11" ht="12.75">
      <c r="A3" s="39" t="s">
        <v>56</v>
      </c>
      <c r="B3" s="2">
        <f>Budsjett!B9</f>
        <v>500</v>
      </c>
      <c r="C3" s="2">
        <f>Budsjett!B10</f>
        <v>500</v>
      </c>
      <c r="D3" s="2">
        <f>Budsjett!B11</f>
        <v>500</v>
      </c>
      <c r="E3" s="2">
        <f>Budsjett!B12</f>
        <v>500</v>
      </c>
      <c r="F3" s="2">
        <f>Budsjett!B13</f>
        <v>500</v>
      </c>
      <c r="G3" s="2">
        <f>Budsjett!B14</f>
        <v>0</v>
      </c>
      <c r="H3" s="2">
        <f>Budsjett!B15</f>
        <v>0</v>
      </c>
      <c r="I3" s="2">
        <f>Budsjett!B16</f>
        <v>0</v>
      </c>
      <c r="J3" s="2">
        <f>Budsjett!B17</f>
        <v>0</v>
      </c>
      <c r="K3" s="2">
        <f>Budsjett!B18</f>
        <v>0</v>
      </c>
    </row>
    <row r="4" spans="1:11" ht="12.75">
      <c r="A4" s="39" t="s">
        <v>57</v>
      </c>
      <c r="B4" s="2">
        <f>Budsjett!$B$4*(1+Budsjett!$C$4)^(B2-$B$2)</f>
        <v>11000</v>
      </c>
      <c r="C4" s="2">
        <f>Budsjett!$B$4*(1+Budsjett!$C$4)^(C2-$B$2)</f>
        <v>11330</v>
      </c>
      <c r="D4" s="2">
        <f>Budsjett!$B$4*(1+Budsjett!$C$4)^(D2-$B$2)</f>
        <v>11669.9</v>
      </c>
      <c r="E4" s="2">
        <f>Budsjett!$B$4*(1+Budsjett!$C$4)^(E2-$B$2)</f>
        <v>12019.997</v>
      </c>
      <c r="F4" s="2">
        <f>Budsjett!$B$4*(1+Budsjett!$C$4)^(F2-$B$2)</f>
        <v>12380.596909999998</v>
      </c>
      <c r="G4" s="2">
        <f>Budsjett!$B$4*(1+Budsjett!$C$4)^(G2-$B$2)</f>
        <v>12752.014817299998</v>
      </c>
      <c r="H4" s="2">
        <f>Budsjett!$B$4*(1+Budsjett!$C$4)^(H2-$B$2)</f>
        <v>13134.575261819</v>
      </c>
      <c r="I4" s="2">
        <f>Budsjett!$B$4*(1+Budsjett!$C$4)^(I2-$B$2)</f>
        <v>13528.61251967357</v>
      </c>
      <c r="J4" s="2">
        <f>Budsjett!$B$4*(1+Budsjett!$C$4)^(J2-$B$2)</f>
        <v>13934.470895263776</v>
      </c>
      <c r="K4" s="2">
        <f>Budsjett!$B$4*(1+Budsjett!$C$4)^(K2-$B$2)</f>
        <v>14352.50502212169</v>
      </c>
    </row>
    <row r="5" spans="1:11" ht="12.75">
      <c r="A5" s="39" t="s">
        <v>65</v>
      </c>
      <c r="B5" s="2">
        <f>B3*B4/1000</f>
        <v>5500</v>
      </c>
      <c r="C5" s="2">
        <f aca="true" t="shared" si="0" ref="C5:K5">C3*C4/1000</f>
        <v>5665</v>
      </c>
      <c r="D5" s="2">
        <f t="shared" si="0"/>
        <v>5834.95</v>
      </c>
      <c r="E5" s="2">
        <f t="shared" si="0"/>
        <v>6009.9985</v>
      </c>
      <c r="F5" s="2">
        <f t="shared" si="0"/>
        <v>6190.298454999999</v>
      </c>
      <c r="G5" s="2">
        <f t="shared" si="0"/>
        <v>0</v>
      </c>
      <c r="H5" s="2">
        <f t="shared" si="0"/>
        <v>0</v>
      </c>
      <c r="I5" s="2">
        <f t="shared" si="0"/>
        <v>0</v>
      </c>
      <c r="J5" s="2">
        <f t="shared" si="0"/>
        <v>0</v>
      </c>
      <c r="K5" s="2">
        <f t="shared" si="0"/>
        <v>0</v>
      </c>
    </row>
    <row r="6" spans="1:11" ht="12.75">
      <c r="A6" s="39" t="s">
        <v>58</v>
      </c>
      <c r="B6" s="2">
        <f>Budsjett!D9</f>
        <v>1000</v>
      </c>
      <c r="C6" s="2">
        <f>Budsjett!D10</f>
        <v>1040</v>
      </c>
      <c r="D6" s="2">
        <f>Budsjett!D11</f>
        <v>1081.6000000000001</v>
      </c>
      <c r="E6" s="2">
        <f>Budsjett!D12</f>
        <v>1124.8640000000003</v>
      </c>
      <c r="F6" s="2">
        <f>Budsjett!D13</f>
        <v>1169.8585600000004</v>
      </c>
      <c r="G6" s="2">
        <f>Budsjett!D14</f>
        <v>0</v>
      </c>
      <c r="H6" s="2">
        <f>Budsjett!D15</f>
        <v>0</v>
      </c>
      <c r="I6" s="2">
        <f>Budsjett!D16</f>
        <v>0</v>
      </c>
      <c r="J6" s="2">
        <f>Budsjett!D17</f>
        <v>0</v>
      </c>
      <c r="K6" s="2">
        <f>Budsjett!D18</f>
        <v>0</v>
      </c>
    </row>
    <row r="7" spans="1:11" ht="12.75">
      <c r="A7" s="39" t="s">
        <v>59</v>
      </c>
      <c r="B7" s="2">
        <f>Budsjett!$D$4*(1+Budsjett!$E$4)^(B2-$B$2)</f>
        <v>5000</v>
      </c>
      <c r="C7" s="2">
        <f>Budsjett!$D$4*(1+Budsjett!$E$4)^(C2-$B$2)</f>
        <v>5150</v>
      </c>
      <c r="D7" s="2">
        <f>Budsjett!$D$4*(1+Budsjett!$E$4)^(D2-$B$2)</f>
        <v>5304.5</v>
      </c>
      <c r="E7" s="2">
        <f>Budsjett!$D$4*(1+Budsjett!$E$4)^(E2-$B$2)</f>
        <v>5463.635</v>
      </c>
      <c r="F7" s="2">
        <f>Budsjett!$D$4*(1+Budsjett!$E$4)^(F2-$B$2)</f>
        <v>5627.5440499999995</v>
      </c>
      <c r="G7" s="2">
        <f>Budsjett!$D$4*(1+Budsjett!$E$4)^(G2-$B$2)</f>
        <v>5796.370371499999</v>
      </c>
      <c r="H7" s="2">
        <f>Budsjett!$D$4*(1+Budsjett!$E$4)^(H2-$B$2)</f>
        <v>5970.261482645</v>
      </c>
      <c r="I7" s="2">
        <f>Budsjett!$D$4*(1+Budsjett!$E$4)^(I2-$B$2)</f>
        <v>6149.36932712435</v>
      </c>
      <c r="J7" s="2">
        <f>Budsjett!$D$4*(1+Budsjett!$E$4)^(J2-$B$2)</f>
        <v>6333.85040693808</v>
      </c>
      <c r="K7" s="2">
        <f>Budsjett!$D$4*(1+Budsjett!$E$4)^(K2-$B$2)</f>
        <v>6523.865919146222</v>
      </c>
    </row>
    <row r="8" spans="1:11" ht="12.75">
      <c r="A8" s="39" t="s">
        <v>66</v>
      </c>
      <c r="B8" s="2">
        <f>B6*B7/1000</f>
        <v>5000</v>
      </c>
      <c r="C8" s="2">
        <f aca="true" t="shared" si="1" ref="C8:K8">C6*C7/1000</f>
        <v>5356</v>
      </c>
      <c r="D8" s="2">
        <f t="shared" si="1"/>
        <v>5737.347200000001</v>
      </c>
      <c r="E8" s="2">
        <f t="shared" si="1"/>
        <v>6145.846320640001</v>
      </c>
      <c r="F8" s="2">
        <f t="shared" si="1"/>
        <v>6583.4305786695695</v>
      </c>
      <c r="G8" s="2">
        <f t="shared" si="1"/>
        <v>0</v>
      </c>
      <c r="H8" s="2">
        <f t="shared" si="1"/>
        <v>0</v>
      </c>
      <c r="I8" s="2">
        <f t="shared" si="1"/>
        <v>0</v>
      </c>
      <c r="J8" s="2">
        <f t="shared" si="1"/>
        <v>0</v>
      </c>
      <c r="K8" s="2">
        <f t="shared" si="1"/>
        <v>0</v>
      </c>
    </row>
    <row r="9" spans="1:11" ht="12.75">
      <c r="A9" s="4" t="s">
        <v>60</v>
      </c>
      <c r="B9" s="2">
        <f>B5+B8</f>
        <v>10500</v>
      </c>
      <c r="C9" s="2">
        <f aca="true" t="shared" si="2" ref="C9:H9">C5+C8</f>
        <v>11021</v>
      </c>
      <c r="D9" s="2">
        <f t="shared" si="2"/>
        <v>11572.2972</v>
      </c>
      <c r="E9" s="2">
        <f t="shared" si="2"/>
        <v>12155.84482064</v>
      </c>
      <c r="F9" s="2">
        <f t="shared" si="2"/>
        <v>12773.72903366957</v>
      </c>
      <c r="G9" s="2">
        <f t="shared" si="2"/>
        <v>0</v>
      </c>
      <c r="H9" s="2">
        <f t="shared" si="2"/>
        <v>0</v>
      </c>
      <c r="I9" s="2">
        <f>I5+I8</f>
        <v>0</v>
      </c>
      <c r="J9" s="2">
        <f>J5+J8</f>
        <v>0</v>
      </c>
      <c r="K9" s="2">
        <f>K5+K8</f>
        <v>0</v>
      </c>
    </row>
    <row r="10" spans="1:11" ht="23.25" customHeight="1">
      <c r="A10" s="39" t="s">
        <v>63</v>
      </c>
      <c r="B10" s="2">
        <f>Budsjett!$B$5*(1+Budsjett!$C$5)^(B2-$B$2)</f>
        <v>-5500</v>
      </c>
      <c r="C10" s="2">
        <f>Budsjett!$B$5*(1+Budsjett!$C$5)^(C2-$B$2)</f>
        <v>-5665</v>
      </c>
      <c r="D10" s="2">
        <f>Budsjett!$B$5*(1+Budsjett!$C$5)^(D2-$B$2)</f>
        <v>-5834.95</v>
      </c>
      <c r="E10" s="2">
        <f>Budsjett!$B$5*(1+Budsjett!$C$5)^(E2-$B$2)</f>
        <v>-6009.9985</v>
      </c>
      <c r="F10" s="2">
        <f>Budsjett!$B$5*(1+Budsjett!$C$5)^(F2-$B$2)</f>
        <v>-6190.298454999999</v>
      </c>
      <c r="G10" s="2">
        <f>Budsjett!$B$5*(1+Budsjett!$C$5)^(G2-$B$2)</f>
        <v>-6376.007408649999</v>
      </c>
      <c r="H10" s="2">
        <f>Budsjett!$B$5*(1+Budsjett!$C$5)^(H2-$B$2)</f>
        <v>-6567.2876309095</v>
      </c>
      <c r="I10" s="2">
        <f>Budsjett!$B$5*(1+Budsjett!$C$5)^(I2-$B$2)</f>
        <v>-6764.306259836785</v>
      </c>
      <c r="J10" s="2">
        <f>Budsjett!$B$5*(1+Budsjett!$C$5)^(J2-$B$2)</f>
        <v>-6967.235447631888</v>
      </c>
      <c r="K10" s="2">
        <f>Budsjett!$B$5*(1+Budsjett!$C$5)^(K2-$B$2)</f>
        <v>-7176.252511060845</v>
      </c>
    </row>
    <row r="11" spans="1:11" ht="12.75">
      <c r="A11" s="39" t="s">
        <v>64</v>
      </c>
      <c r="B11" s="2">
        <f>B10*B3/1000</f>
        <v>-2750</v>
      </c>
      <c r="C11" s="2">
        <f aca="true" t="shared" si="3" ref="C11:K11">C10*C3/1000</f>
        <v>-2832.5</v>
      </c>
      <c r="D11" s="2">
        <f t="shared" si="3"/>
        <v>-2917.475</v>
      </c>
      <c r="E11" s="2">
        <f t="shared" si="3"/>
        <v>-3004.99925</v>
      </c>
      <c r="F11" s="2">
        <f t="shared" si="3"/>
        <v>-3095.1492274999996</v>
      </c>
      <c r="G11" s="2">
        <f t="shared" si="3"/>
        <v>0</v>
      </c>
      <c r="H11" s="2">
        <f t="shared" si="3"/>
        <v>0</v>
      </c>
      <c r="I11" s="2">
        <f t="shared" si="3"/>
        <v>0</v>
      </c>
      <c r="J11" s="2">
        <f t="shared" si="3"/>
        <v>0</v>
      </c>
      <c r="K11" s="2">
        <f t="shared" si="3"/>
        <v>0</v>
      </c>
    </row>
    <row r="12" spans="1:11" ht="12.75">
      <c r="A12" s="39" t="s">
        <v>67</v>
      </c>
      <c r="B12" s="2">
        <f>Budsjett!$D$5*(1+Budsjett!$E$5)^(B2-$B$2)</f>
        <v>-1500</v>
      </c>
      <c r="C12" s="2">
        <f>Budsjett!$D$5*(1+Budsjett!$E$5)^(C2-$B$2)</f>
        <v>-1545</v>
      </c>
      <c r="D12" s="2">
        <f>Budsjett!$D$5*(1+Budsjett!$E$5)^(D2-$B$2)</f>
        <v>-1591.35</v>
      </c>
      <c r="E12" s="2">
        <f>Budsjett!$D$5*(1+Budsjett!$E$5)^(E2-$B$2)</f>
        <v>-1639.0905</v>
      </c>
      <c r="F12" s="2">
        <f>Budsjett!$D$5*(1+Budsjett!$E$5)^(F2-$B$2)</f>
        <v>-1688.263215</v>
      </c>
      <c r="G12" s="2">
        <f>Budsjett!$D$5*(1+Budsjett!$E$5)^(G2-$B$2)</f>
        <v>-1738.9111114499997</v>
      </c>
      <c r="H12" s="2">
        <f>Budsjett!$D$5*(1+Budsjett!$E$5)^(H2-$B$2)</f>
        <v>-1791.0784447934998</v>
      </c>
      <c r="I12" s="2">
        <f>Budsjett!$D$5*(1+Budsjett!$E$5)^(I2-$B$2)</f>
        <v>-1844.810798137305</v>
      </c>
      <c r="J12" s="2">
        <f>Budsjett!$D$5*(1+Budsjett!$E$5)^(J2-$B$2)</f>
        <v>-1900.155122081424</v>
      </c>
      <c r="K12" s="2">
        <f>Budsjett!$D$5*(1+Budsjett!$E$5)^(K2-$B$2)</f>
        <v>-1957.1597757438667</v>
      </c>
    </row>
    <row r="13" spans="1:11" ht="12.75">
      <c r="A13" s="39" t="s">
        <v>68</v>
      </c>
      <c r="B13" s="2">
        <f>B12*B6/1000</f>
        <v>-1500</v>
      </c>
      <c r="C13" s="2">
        <f aca="true" t="shared" si="4" ref="C13:K13">C12*C6/1000</f>
        <v>-1606.8</v>
      </c>
      <c r="D13" s="2">
        <f t="shared" si="4"/>
        <v>-1721.2041600000002</v>
      </c>
      <c r="E13" s="2">
        <f t="shared" si="4"/>
        <v>-1843.7538961920004</v>
      </c>
      <c r="F13" s="2">
        <f t="shared" si="4"/>
        <v>-1975.029173600871</v>
      </c>
      <c r="G13" s="2">
        <f t="shared" si="4"/>
        <v>0</v>
      </c>
      <c r="H13" s="2">
        <f t="shared" si="4"/>
        <v>0</v>
      </c>
      <c r="I13" s="2">
        <f t="shared" si="4"/>
        <v>0</v>
      </c>
      <c r="J13" s="2">
        <f t="shared" si="4"/>
        <v>0</v>
      </c>
      <c r="K13" s="2">
        <f t="shared" si="4"/>
        <v>0</v>
      </c>
    </row>
    <row r="14" spans="1:11" ht="12.75">
      <c r="A14" s="4" t="s">
        <v>61</v>
      </c>
      <c r="B14" s="2">
        <f>B11+B13</f>
        <v>-4250</v>
      </c>
      <c r="C14" s="2">
        <f aca="true" t="shared" si="5" ref="C14:K14">C11+C13</f>
        <v>-4439.3</v>
      </c>
      <c r="D14" s="2">
        <f t="shared" si="5"/>
        <v>-4638.67916</v>
      </c>
      <c r="E14" s="2">
        <f t="shared" si="5"/>
        <v>-4848.753146192001</v>
      </c>
      <c r="F14" s="2">
        <f t="shared" si="5"/>
        <v>-5070.17840110087</v>
      </c>
      <c r="G14" s="2">
        <f t="shared" si="5"/>
        <v>0</v>
      </c>
      <c r="H14" s="2">
        <f t="shared" si="5"/>
        <v>0</v>
      </c>
      <c r="I14" s="2">
        <f t="shared" si="5"/>
        <v>0</v>
      </c>
      <c r="J14" s="2">
        <f t="shared" si="5"/>
        <v>0</v>
      </c>
      <c r="K14" s="2">
        <f t="shared" si="5"/>
        <v>0</v>
      </c>
    </row>
    <row r="15" spans="1:11" ht="23.25" customHeight="1">
      <c r="A15" s="39" t="s">
        <v>69</v>
      </c>
      <c r="B15" s="2">
        <f>Budsjett!$B$6*(1+Budsjett!$C$6)^(B2-$B$2)</f>
        <v>-1700</v>
      </c>
      <c r="C15" s="2">
        <f>Budsjett!$B$6*(1+Budsjett!$C$6)^(C2-$B$2)</f>
        <v>-1751</v>
      </c>
      <c r="D15" s="2">
        <f>Budsjett!$B$6*(1+Budsjett!$C$6)^(D2-$B$2)</f>
        <v>-1803.53</v>
      </c>
      <c r="E15" s="2">
        <f>Budsjett!$B$6*(1+Budsjett!$C$6)^(E2-$B$2)</f>
        <v>-1857.6359</v>
      </c>
      <c r="F15" s="2">
        <f>Budsjett!$B$6*(1+Budsjett!$C$6)^(F2-$B$2)</f>
        <v>-1913.364977</v>
      </c>
      <c r="G15" s="2">
        <f>Budsjett!$B$6*(1+Budsjett!$C$6)^(G2-$B$2)</f>
        <v>-1970.7659263099997</v>
      </c>
      <c r="H15" s="2">
        <f>Budsjett!$B$6*(1+Budsjett!$C$6)^(H2-$B$2)</f>
        <v>-2029.8889040993</v>
      </c>
      <c r="I15" s="2">
        <f>Budsjett!$B$6*(1+Budsjett!$C$6)^(I2-$B$2)</f>
        <v>-2090.785571222279</v>
      </c>
      <c r="J15" s="2">
        <f>Budsjett!$B$6*(1+Budsjett!$C$6)^(J2-$B$2)</f>
        <v>-2153.509138358947</v>
      </c>
      <c r="K15" s="2">
        <f>Budsjett!$B$6*(1+Budsjett!$C$6)^(K2-$B$2)</f>
        <v>-2218.1144125097157</v>
      </c>
    </row>
    <row r="16" spans="1:11" ht="12.75">
      <c r="A16" s="39" t="s">
        <v>71</v>
      </c>
      <c r="B16" s="2">
        <f>B15*B3/1000</f>
        <v>-850</v>
      </c>
      <c r="C16" s="2">
        <f aca="true" t="shared" si="6" ref="C16:K16">C15*C3/1000</f>
        <v>-875.5</v>
      </c>
      <c r="D16" s="2">
        <f t="shared" si="6"/>
        <v>-901.765</v>
      </c>
      <c r="E16" s="2">
        <f t="shared" si="6"/>
        <v>-928.81795</v>
      </c>
      <c r="F16" s="2">
        <f t="shared" si="6"/>
        <v>-956.6824885</v>
      </c>
      <c r="G16" s="2">
        <f t="shared" si="6"/>
        <v>0</v>
      </c>
      <c r="H16" s="2">
        <f t="shared" si="6"/>
        <v>0</v>
      </c>
      <c r="I16" s="2">
        <f t="shared" si="6"/>
        <v>0</v>
      </c>
      <c r="J16" s="2">
        <f t="shared" si="6"/>
        <v>0</v>
      </c>
      <c r="K16" s="2">
        <f t="shared" si="6"/>
        <v>0</v>
      </c>
    </row>
    <row r="17" spans="1:11" ht="12.75">
      <c r="A17" s="39" t="s">
        <v>70</v>
      </c>
      <c r="B17" s="2">
        <f>Budsjett!$D$6*(1+Budsjett!$E$6)^(B2-$B$2)</f>
        <v>-1200</v>
      </c>
      <c r="C17" s="2">
        <f>Budsjett!$D$6*(1+Budsjett!$E$6)^(C2-$B$2)</f>
        <v>-1236</v>
      </c>
      <c r="D17" s="2">
        <f>Budsjett!$D$6*(1+Budsjett!$E$6)^(D2-$B$2)</f>
        <v>-1273.08</v>
      </c>
      <c r="E17" s="2">
        <f>Budsjett!$D$6*(1+Budsjett!$E$6)^(E2-$B$2)</f>
        <v>-1311.2724</v>
      </c>
      <c r="F17" s="2">
        <f>Budsjett!$D$6*(1+Budsjett!$E$6)^(F2-$B$2)</f>
        <v>-1350.6105719999998</v>
      </c>
      <c r="G17" s="2">
        <f>Budsjett!$D$6*(1+Budsjett!$E$6)^(G2-$B$2)</f>
        <v>-1391.1288891599997</v>
      </c>
      <c r="H17" s="2">
        <f>Budsjett!$D$6*(1+Budsjett!$E$6)^(H2-$B$2)</f>
        <v>-1432.8627558347998</v>
      </c>
      <c r="I17" s="2">
        <f>Budsjett!$D$6*(1+Budsjett!$E$6)^(I2-$B$2)</f>
        <v>-1475.848638509844</v>
      </c>
      <c r="J17" s="2">
        <f>Budsjett!$D$6*(1+Budsjett!$E$6)^(J2-$B$2)</f>
        <v>-1520.124097665139</v>
      </c>
      <c r="K17" s="2">
        <f>Budsjett!$D$6*(1+Budsjett!$E$6)^(K2-$B$2)</f>
        <v>-1565.7278205950934</v>
      </c>
    </row>
    <row r="18" spans="1:11" ht="12.75">
      <c r="A18" s="39" t="s">
        <v>72</v>
      </c>
      <c r="B18" s="2">
        <f>B17*B6/1000</f>
        <v>-1200</v>
      </c>
      <c r="C18" s="2">
        <f aca="true" t="shared" si="7" ref="C18:K18">C17*C6/1000</f>
        <v>-1285.44</v>
      </c>
      <c r="D18" s="2">
        <f t="shared" si="7"/>
        <v>-1376.963328</v>
      </c>
      <c r="E18" s="2">
        <f t="shared" si="7"/>
        <v>-1475.0031169536005</v>
      </c>
      <c r="F18" s="2">
        <f t="shared" si="7"/>
        <v>-1580.0233388806967</v>
      </c>
      <c r="G18" s="2">
        <f t="shared" si="7"/>
        <v>0</v>
      </c>
      <c r="H18" s="2">
        <f t="shared" si="7"/>
        <v>0</v>
      </c>
      <c r="I18" s="2">
        <f t="shared" si="7"/>
        <v>0</v>
      </c>
      <c r="J18" s="2">
        <f t="shared" si="7"/>
        <v>0</v>
      </c>
      <c r="K18" s="2">
        <f t="shared" si="7"/>
        <v>0</v>
      </c>
    </row>
    <row r="19" spans="1:11" ht="12.75">
      <c r="A19" s="4" t="s">
        <v>62</v>
      </c>
      <c r="B19" s="2">
        <f>B16+B18</f>
        <v>-2050</v>
      </c>
      <c r="C19" s="2">
        <f aca="true" t="shared" si="8" ref="C19:K19">C16+C18</f>
        <v>-2160.94</v>
      </c>
      <c r="D19" s="2">
        <f t="shared" si="8"/>
        <v>-2278.728328</v>
      </c>
      <c r="E19" s="2">
        <f t="shared" si="8"/>
        <v>-2403.8210669536006</v>
      </c>
      <c r="F19" s="2">
        <f t="shared" si="8"/>
        <v>-2536.7058273806965</v>
      </c>
      <c r="G19" s="2">
        <f t="shared" si="8"/>
        <v>0</v>
      </c>
      <c r="H19" s="2">
        <f t="shared" si="8"/>
        <v>0</v>
      </c>
      <c r="I19" s="2">
        <f t="shared" si="8"/>
        <v>0</v>
      </c>
      <c r="J19" s="2">
        <f t="shared" si="8"/>
        <v>0</v>
      </c>
      <c r="K19" s="2">
        <f t="shared" si="8"/>
        <v>0</v>
      </c>
    </row>
  </sheetData>
  <sheetProtection/>
  <mergeCells count="1">
    <mergeCell ref="B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A1" sqref="A1"/>
    </sheetView>
  </sheetViews>
  <sheetFormatPr defaultColWidth="9.140625" defaultRowHeight="12.75"/>
  <cols>
    <col min="1" max="1" width="25.28125" style="0" customWidth="1"/>
  </cols>
  <sheetData>
    <row r="1" ht="12.75">
      <c r="A1" s="39" t="s">
        <v>1</v>
      </c>
    </row>
    <row r="2" spans="2:4" ht="12.75">
      <c r="B2" s="47" t="s">
        <v>37</v>
      </c>
      <c r="C2" s="47" t="s">
        <v>16</v>
      </c>
      <c r="D2" s="47" t="s">
        <v>3</v>
      </c>
    </row>
    <row r="3" spans="1:5" ht="12.75">
      <c r="A3" t="s">
        <v>38</v>
      </c>
      <c r="B3" s="2">
        <f>Budsjett!B24</f>
        <v>-8800</v>
      </c>
      <c r="C3" s="22">
        <f>Budsjett!G24</f>
        <v>0.04</v>
      </c>
      <c r="D3" s="2">
        <f>Budsjett!C24</f>
        <v>3200</v>
      </c>
      <c r="E3" s="13">
        <f>Budsjett!F24</f>
        <v>0.03</v>
      </c>
    </row>
    <row r="4" spans="1:5" ht="12.75">
      <c r="A4" t="s">
        <v>39</v>
      </c>
      <c r="B4" s="2">
        <f>Budsjett!B25</f>
        <v>-2000</v>
      </c>
      <c r="C4" s="22">
        <f>Budsjett!G25</f>
        <v>0.3</v>
      </c>
      <c r="D4" s="2">
        <f>Budsjett!C25</f>
        <v>1000</v>
      </c>
      <c r="E4" s="13">
        <f>Budsjett!F25</f>
        <v>0.03</v>
      </c>
    </row>
    <row r="5" spans="1:3" ht="12.75">
      <c r="A5" t="s">
        <v>40</v>
      </c>
      <c r="B5" s="2">
        <f>Budsjett!B26</f>
        <v>-700</v>
      </c>
      <c r="C5" s="13">
        <v>1</v>
      </c>
    </row>
    <row r="6" spans="1:2" ht="12.75">
      <c r="A6" t="s">
        <v>41</v>
      </c>
      <c r="B6" s="2">
        <f>SUM(B3:B5)</f>
        <v>-11500</v>
      </c>
    </row>
    <row r="7" spans="2:11" ht="12.75">
      <c r="B7" s="53" t="s">
        <v>2</v>
      </c>
      <c r="C7" s="53"/>
      <c r="D7" s="53"/>
      <c r="E7" s="53"/>
      <c r="F7" s="53"/>
      <c r="G7" s="53"/>
      <c r="H7" s="53"/>
      <c r="I7" s="53"/>
      <c r="J7" s="53"/>
      <c r="K7" s="53"/>
    </row>
    <row r="8" spans="2:16" ht="12.75">
      <c r="B8" s="41">
        <f>Budsjett!I3</f>
        <v>2010</v>
      </c>
      <c r="C8" s="41">
        <f>Budsjett!J3</f>
        <v>2011</v>
      </c>
      <c r="D8" s="41">
        <f>Budsjett!K3</f>
        <v>2012</v>
      </c>
      <c r="E8" s="41">
        <f>Budsjett!L3</f>
        <v>2013</v>
      </c>
      <c r="F8" s="41">
        <f>Budsjett!M3</f>
        <v>2014</v>
      </c>
      <c r="G8" s="41">
        <f>Budsjett!N3</f>
        <v>2015</v>
      </c>
      <c r="H8" s="41">
        <f>Budsjett!O3</f>
        <v>2016</v>
      </c>
      <c r="I8" s="41">
        <f>Budsjett!P3</f>
        <v>2017</v>
      </c>
      <c r="J8" s="41">
        <f>Budsjett!Q3</f>
        <v>2018</v>
      </c>
      <c r="K8" s="41">
        <f>Budsjett!R3</f>
        <v>2019</v>
      </c>
      <c r="L8" s="2"/>
      <c r="M8" s="2"/>
      <c r="N8" s="2"/>
      <c r="O8" s="2"/>
      <c r="P8" s="2"/>
    </row>
    <row r="9" spans="1:11" ht="12.75">
      <c r="A9" s="4" t="s">
        <v>42</v>
      </c>
      <c r="B9" s="2"/>
      <c r="C9" s="2"/>
      <c r="D9" s="2"/>
      <c r="E9" s="2"/>
      <c r="F9" s="2"/>
      <c r="G9" s="2"/>
      <c r="H9" s="2"/>
      <c r="I9" s="2"/>
      <c r="J9" s="2"/>
      <c r="K9" s="2"/>
    </row>
    <row r="10" spans="1:16" ht="12.75">
      <c r="A10" t="s">
        <v>43</v>
      </c>
      <c r="B10" s="2"/>
      <c r="C10" s="2">
        <f aca="true" t="shared" si="0" ref="C10:K10">-B11*$C$3*C21</f>
        <v>-352</v>
      </c>
      <c r="D10" s="2">
        <f t="shared" si="0"/>
        <v>-337.92</v>
      </c>
      <c r="E10" s="2">
        <f t="shared" si="0"/>
        <v>-324.4032</v>
      </c>
      <c r="F10" s="2">
        <f t="shared" si="0"/>
        <v>-311.427072</v>
      </c>
      <c r="G10" s="2">
        <f t="shared" si="0"/>
        <v>-298.96998912</v>
      </c>
      <c r="H10" s="2">
        <f t="shared" si="0"/>
        <v>0</v>
      </c>
      <c r="I10" s="2">
        <f t="shared" si="0"/>
        <v>0</v>
      </c>
      <c r="J10" s="2">
        <f t="shared" si="0"/>
        <v>0</v>
      </c>
      <c r="K10" s="2">
        <f t="shared" si="0"/>
        <v>0</v>
      </c>
      <c r="L10" s="2"/>
      <c r="M10" s="23"/>
      <c r="N10" s="23"/>
      <c r="O10" s="23"/>
      <c r="P10" s="23"/>
    </row>
    <row r="11" spans="1:16" ht="12.75">
      <c r="A11" t="s">
        <v>17</v>
      </c>
      <c r="B11" s="2">
        <f>-B3</f>
        <v>8800</v>
      </c>
      <c r="C11" s="2">
        <f aca="true" t="shared" si="1" ref="C11:K11">(B11+C10)*C21</f>
        <v>8448</v>
      </c>
      <c r="D11" s="2">
        <f t="shared" si="1"/>
        <v>8110.08</v>
      </c>
      <c r="E11" s="2">
        <f t="shared" si="1"/>
        <v>7785.6768</v>
      </c>
      <c r="F11" s="2">
        <f t="shared" si="1"/>
        <v>7474.249728</v>
      </c>
      <c r="G11" s="2">
        <f t="shared" si="1"/>
        <v>7175.27973888</v>
      </c>
      <c r="H11" s="2">
        <f t="shared" si="1"/>
        <v>0</v>
      </c>
      <c r="I11" s="2">
        <f t="shared" si="1"/>
        <v>0</v>
      </c>
      <c r="J11" s="2">
        <f t="shared" si="1"/>
        <v>0</v>
      </c>
      <c r="K11" s="2">
        <f t="shared" si="1"/>
        <v>0</v>
      </c>
      <c r="L11" s="2"/>
      <c r="M11" s="2"/>
      <c r="N11" s="2"/>
      <c r="O11" s="2"/>
      <c r="P11" s="2"/>
    </row>
    <row r="12" spans="1:16" ht="12.75">
      <c r="A12" t="s">
        <v>3</v>
      </c>
      <c r="B12" s="2"/>
      <c r="C12" s="2">
        <f>Budsjett!$C$24*(1+Budsjett!$F$24)^(C8-$C$8)*C22</f>
        <v>0</v>
      </c>
      <c r="D12" s="2">
        <f>Budsjett!$C$24*(1+Budsjett!$F$24)^(D8-$C$8)*D22</f>
        <v>0</v>
      </c>
      <c r="E12" s="2">
        <f>Budsjett!$C$24*(1+Budsjett!$F$24)^(E8-$C$8)*E22</f>
        <v>0</v>
      </c>
      <c r="F12" s="2">
        <f>Budsjett!$C$24*(1+Budsjett!$F$24)^(F8-$C$8)*F22</f>
        <v>0</v>
      </c>
      <c r="G12" s="2">
        <f>Budsjett!$C$24*(1+Budsjett!$F$24)^(G8-$C$8)*G22</f>
        <v>3601.6281919999997</v>
      </c>
      <c r="H12" s="2">
        <f>Budsjett!$C$24*(1+Budsjett!$F$24)^(H8-$C$8)*H22</f>
        <v>0</v>
      </c>
      <c r="I12" s="2">
        <f>Budsjett!$C$24*(1+Budsjett!$F$24)^(I8-$C$8)*I22</f>
        <v>0</v>
      </c>
      <c r="J12" s="2">
        <f>Budsjett!$C$24*(1+Budsjett!$F$24)^(J8-$C$8)*J22</f>
        <v>0</v>
      </c>
      <c r="K12" s="2">
        <f>Budsjett!$C$24*(1+Budsjett!$F$24)^(K8-$C$8)*K22</f>
        <v>0</v>
      </c>
      <c r="L12" s="2"/>
      <c r="M12" s="2"/>
      <c r="N12" s="2"/>
      <c r="O12" s="2"/>
      <c r="P12" s="2"/>
    </row>
    <row r="13" spans="1:16" ht="12.75">
      <c r="A13" s="39" t="s">
        <v>76</v>
      </c>
      <c r="B13" s="2"/>
      <c r="C13" s="2">
        <f>-C11*C22</f>
        <v>0</v>
      </c>
      <c r="D13" s="2">
        <f aca="true" t="shared" si="2" ref="D13:K13">-D11*D22</f>
        <v>0</v>
      </c>
      <c r="E13" s="2">
        <f t="shared" si="2"/>
        <v>0</v>
      </c>
      <c r="F13" s="2">
        <f t="shared" si="2"/>
        <v>0</v>
      </c>
      <c r="G13" s="2">
        <f t="shared" si="2"/>
        <v>-7175.27973888</v>
      </c>
      <c r="H13" s="2">
        <f t="shared" si="2"/>
        <v>0</v>
      </c>
      <c r="I13" s="2">
        <f t="shared" si="2"/>
        <v>0</v>
      </c>
      <c r="J13" s="2">
        <f t="shared" si="2"/>
        <v>0</v>
      </c>
      <c r="K13" s="2">
        <f t="shared" si="2"/>
        <v>0</v>
      </c>
      <c r="L13" s="2"/>
      <c r="M13" s="2"/>
      <c r="N13" s="2"/>
      <c r="O13" s="2"/>
      <c r="P13" s="2"/>
    </row>
    <row r="14" spans="2:11" ht="12.75">
      <c r="B14" s="2"/>
      <c r="C14" s="2"/>
      <c r="D14" s="2"/>
      <c r="E14" s="2"/>
      <c r="F14" s="2"/>
      <c r="G14" s="2"/>
      <c r="H14" s="2"/>
      <c r="I14" s="2"/>
      <c r="J14" s="2"/>
      <c r="K14" s="2"/>
    </row>
    <row r="15" spans="1:11" ht="12.75">
      <c r="A15" s="4" t="s">
        <v>7</v>
      </c>
      <c r="B15" s="2"/>
      <c r="C15" s="2"/>
      <c r="D15" s="2"/>
      <c r="E15" s="2"/>
      <c r="F15" s="2"/>
      <c r="G15" s="2"/>
      <c r="H15" s="2"/>
      <c r="I15" s="2"/>
      <c r="J15" s="2"/>
      <c r="K15" s="2"/>
    </row>
    <row r="16" spans="1:16" ht="12.75">
      <c r="A16" t="s">
        <v>43</v>
      </c>
      <c r="B16" s="2"/>
      <c r="C16" s="2">
        <f aca="true" t="shared" si="3" ref="C16:K16">-B17*$C$4*C21</f>
        <v>-600</v>
      </c>
      <c r="D16" s="2">
        <f t="shared" si="3"/>
        <v>-420</v>
      </c>
      <c r="E16" s="2">
        <f t="shared" si="3"/>
        <v>-294</v>
      </c>
      <c r="F16" s="2">
        <f t="shared" si="3"/>
        <v>-205.79999999999998</v>
      </c>
      <c r="G16" s="2">
        <f t="shared" si="3"/>
        <v>-144.06</v>
      </c>
      <c r="H16" s="2">
        <f t="shared" si="3"/>
        <v>0</v>
      </c>
      <c r="I16" s="2">
        <f t="shared" si="3"/>
        <v>0</v>
      </c>
      <c r="J16" s="2">
        <f t="shared" si="3"/>
        <v>0</v>
      </c>
      <c r="K16" s="2">
        <f t="shared" si="3"/>
        <v>0</v>
      </c>
      <c r="L16" s="23"/>
      <c r="M16" s="23"/>
      <c r="N16" s="23"/>
      <c r="O16" s="23"/>
      <c r="P16" s="23"/>
    </row>
    <row r="17" spans="1:16" ht="12.75">
      <c r="A17" t="s">
        <v>17</v>
      </c>
      <c r="B17" s="2">
        <f>-B4</f>
        <v>2000</v>
      </c>
      <c r="C17" s="2">
        <f aca="true" t="shared" si="4" ref="C17:K17">(B17+C16)*C21</f>
        <v>1400</v>
      </c>
      <c r="D17" s="2">
        <f t="shared" si="4"/>
        <v>980</v>
      </c>
      <c r="E17" s="2">
        <f t="shared" si="4"/>
        <v>686</v>
      </c>
      <c r="F17" s="2">
        <f t="shared" si="4"/>
        <v>480.20000000000005</v>
      </c>
      <c r="G17" s="2">
        <f t="shared" si="4"/>
        <v>336.14000000000004</v>
      </c>
      <c r="H17" s="2">
        <f t="shared" si="4"/>
        <v>0</v>
      </c>
      <c r="I17" s="2">
        <f t="shared" si="4"/>
        <v>0</v>
      </c>
      <c r="J17" s="2">
        <f t="shared" si="4"/>
        <v>0</v>
      </c>
      <c r="K17" s="2">
        <f t="shared" si="4"/>
        <v>0</v>
      </c>
      <c r="L17" s="2"/>
      <c r="M17" s="2"/>
      <c r="N17" s="2"/>
      <c r="O17" s="2"/>
      <c r="P17" s="2"/>
    </row>
    <row r="18" spans="1:16" ht="12.75">
      <c r="A18" t="s">
        <v>3</v>
      </c>
      <c r="B18" s="2"/>
      <c r="C18" s="2">
        <f>Budsjett!$C$25*(1+Budsjett!$F$25)^(C8-$C$8)*C22</f>
        <v>0</v>
      </c>
      <c r="D18" s="2">
        <f>Budsjett!$C$25*(1+Budsjett!$F$25)^(D8-$C$8)*D22</f>
        <v>0</v>
      </c>
      <c r="E18" s="2">
        <f>Budsjett!$C$25*(1+Budsjett!$F$25)^(E8-$C$8)*E22</f>
        <v>0</v>
      </c>
      <c r="F18" s="2">
        <f>Budsjett!$C$25*(1+Budsjett!$F$25)^(F8-$C$8)*F22</f>
        <v>0</v>
      </c>
      <c r="G18" s="2">
        <f>Budsjett!$C$25*(1+Budsjett!$F$25)^(G8-$C$8)*G22</f>
        <v>1125.5088099999998</v>
      </c>
      <c r="H18" s="2">
        <f>Budsjett!$C$25*(1+Budsjett!$F$25)^(H8-$C$8)*H22</f>
        <v>0</v>
      </c>
      <c r="I18" s="2">
        <f>Budsjett!$C$25*(1+Budsjett!$F$25)^(I8-$C$8)*I22</f>
        <v>0</v>
      </c>
      <c r="J18" s="2">
        <f>Budsjett!$C$25*(1+Budsjett!$F$25)^(J8-$C$8)*J22</f>
        <v>0</v>
      </c>
      <c r="K18" s="2">
        <f>Budsjett!$C$25*(1+Budsjett!$F$25)^(K8-$C$8)*K22</f>
        <v>0</v>
      </c>
      <c r="L18" s="2"/>
      <c r="M18" s="2"/>
      <c r="N18" s="2"/>
      <c r="O18" s="2"/>
      <c r="P18" s="2"/>
    </row>
    <row r="19" spans="1:16" ht="12.75">
      <c r="A19" s="39" t="s">
        <v>76</v>
      </c>
      <c r="B19" s="2"/>
      <c r="C19" s="2">
        <f>-C17*C22</f>
        <v>0</v>
      </c>
      <c r="D19" s="2">
        <f aca="true" t="shared" si="5" ref="D19:K19">-D17*D22</f>
        <v>0</v>
      </c>
      <c r="E19" s="2">
        <f t="shared" si="5"/>
        <v>0</v>
      </c>
      <c r="F19" s="2">
        <f t="shared" si="5"/>
        <v>0</v>
      </c>
      <c r="G19" s="2">
        <f t="shared" si="5"/>
        <v>-336.14000000000004</v>
      </c>
      <c r="H19" s="2">
        <f t="shared" si="5"/>
        <v>0</v>
      </c>
      <c r="I19" s="2">
        <f t="shared" si="5"/>
        <v>0</v>
      </c>
      <c r="J19" s="2">
        <f t="shared" si="5"/>
        <v>0</v>
      </c>
      <c r="K19" s="2">
        <f t="shared" si="5"/>
        <v>0</v>
      </c>
      <c r="L19" s="2"/>
      <c r="M19" s="2"/>
      <c r="N19" s="2"/>
      <c r="O19" s="2"/>
      <c r="P19" s="2"/>
    </row>
    <row r="20" spans="2:11" ht="12.75">
      <c r="B20" s="2"/>
      <c r="C20" s="2"/>
      <c r="D20" s="2"/>
      <c r="E20" s="2"/>
      <c r="F20" s="2"/>
      <c r="G20" s="2"/>
      <c r="H20" s="2"/>
      <c r="I20" s="2"/>
      <c r="J20" s="2"/>
      <c r="K20" s="2"/>
    </row>
    <row r="21" spans="1:11" ht="12.75">
      <c r="A21" s="39" t="s">
        <v>75</v>
      </c>
      <c r="B21" s="2">
        <v>1</v>
      </c>
      <c r="C21" s="2">
        <f>IF(C8-$C$8&lt;Budsjett!$B$2,1,0)</f>
        <v>1</v>
      </c>
      <c r="D21" s="2">
        <f>IF(D8-$C$8&lt;Budsjett!$B$2,1,0)</f>
        <v>1</v>
      </c>
      <c r="E21" s="2">
        <f>IF(E8-$C$8&lt;Budsjett!$B$2,1,0)</f>
        <v>1</v>
      </c>
      <c r="F21" s="2">
        <f>IF(F8-$C$8&lt;Budsjett!$B$2,1,0)</f>
        <v>1</v>
      </c>
      <c r="G21" s="2">
        <f>IF(G8-$C$8&lt;Budsjett!$B$2,1,0)</f>
        <v>1</v>
      </c>
      <c r="H21" s="2">
        <f>IF(H8-$C$8&lt;Budsjett!$B$2,1,0)</f>
        <v>0</v>
      </c>
      <c r="I21" s="2">
        <f>IF(I8-$C$8&lt;Budsjett!$B$2,1,0)</f>
        <v>0</v>
      </c>
      <c r="J21" s="2">
        <f>IF(J8-$C$8&lt;Budsjett!$B$2,1,0)</f>
        <v>0</v>
      </c>
      <c r="K21" s="2">
        <f>IF(K8-$C$8&lt;Budsjett!$B$2,1,0)</f>
        <v>0</v>
      </c>
    </row>
    <row r="22" spans="1:11" ht="12.75">
      <c r="A22" s="39" t="s">
        <v>74</v>
      </c>
      <c r="B22" s="2">
        <f>IF(B8-$B$8+1=Budsjett!$B$2,1,0)</f>
        <v>0</v>
      </c>
      <c r="C22" s="2">
        <f>IF(C8-$C$8+1=Budsjett!$B$2,1,0)</f>
        <v>0</v>
      </c>
      <c r="D22" s="2">
        <f>IF(D8-$C$8+1=Budsjett!$B$2,1,0)</f>
        <v>0</v>
      </c>
      <c r="E22" s="2">
        <f>IF(E8-$C$8+1=Budsjett!$B$2,1,0)</f>
        <v>0</v>
      </c>
      <c r="F22" s="2">
        <f>IF(F8-$C$8+1=Budsjett!$B$2,1,0)</f>
        <v>0</v>
      </c>
      <c r="G22" s="2">
        <f>IF(G8-$C$8+1=Budsjett!$B$2,1,0)</f>
        <v>1</v>
      </c>
      <c r="H22" s="2">
        <f>IF(H8-$C$8+1=Budsjett!$B$2,1,0)</f>
        <v>0</v>
      </c>
      <c r="I22" s="2">
        <f>IF(I8-$C$8+1=Budsjett!$B$2,1,0)</f>
        <v>0</v>
      </c>
      <c r="J22" s="2">
        <f>IF(J8-$C$8+1=Budsjett!$B$2,1,0)</f>
        <v>0</v>
      </c>
      <c r="K22" s="2">
        <f>IF(K8-$C$8+1=Budsjett!$B$2,1,0)</f>
        <v>0</v>
      </c>
    </row>
  </sheetData>
  <sheetProtection/>
  <mergeCells count="1">
    <mergeCell ref="B7:K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26"/>
  <sheetViews>
    <sheetView zoomScalePageLayoutView="0" workbookViewId="0" topLeftCell="C1">
      <selection activeCell="D1" sqref="D1"/>
    </sheetView>
  </sheetViews>
  <sheetFormatPr defaultColWidth="9.140625" defaultRowHeight="12.75" outlineLevelRow="1"/>
  <cols>
    <col min="1" max="1" width="21.140625" style="0" customWidth="1"/>
    <col min="3" max="3" width="4.00390625" style="0" customWidth="1"/>
    <col min="4" max="4" width="18.57421875" style="0" customWidth="1"/>
    <col min="6" max="6" width="9.8515625" style="0" bestFit="1" customWidth="1"/>
    <col min="11" max="11" width="10.00390625" style="0" customWidth="1"/>
  </cols>
  <sheetData>
    <row r="1" spans="1:4" ht="12.75">
      <c r="A1" s="39" t="s">
        <v>1</v>
      </c>
      <c r="D1" s="39" t="s">
        <v>1</v>
      </c>
    </row>
    <row r="2" spans="1:2" ht="12.75">
      <c r="A2" s="39" t="s">
        <v>53</v>
      </c>
      <c r="B2">
        <f>Budsjett!B2</f>
        <v>5</v>
      </c>
    </row>
    <row r="3" spans="4:15" ht="12.75">
      <c r="D3" s="39"/>
      <c r="E3" s="52" t="s">
        <v>2</v>
      </c>
      <c r="F3" s="52"/>
      <c r="G3" s="52"/>
      <c r="H3" s="52"/>
      <c r="I3" s="52"/>
      <c r="J3" s="52"/>
      <c r="K3" s="52"/>
      <c r="L3" s="52"/>
      <c r="M3" s="52"/>
      <c r="N3" s="52"/>
      <c r="O3" s="52"/>
    </row>
    <row r="4" spans="1:15" ht="12.75">
      <c r="A4" s="4" t="s">
        <v>28</v>
      </c>
      <c r="E4" s="39">
        <f>Budsjett!C9-1</f>
        <v>2010</v>
      </c>
      <c r="F4">
        <f aca="true" t="shared" si="0" ref="F4:O4">E4+1</f>
        <v>2011</v>
      </c>
      <c r="G4">
        <f t="shared" si="0"/>
        <v>2012</v>
      </c>
      <c r="H4">
        <f t="shared" si="0"/>
        <v>2013</v>
      </c>
      <c r="I4">
        <f t="shared" si="0"/>
        <v>2014</v>
      </c>
      <c r="J4">
        <f t="shared" si="0"/>
        <v>2015</v>
      </c>
      <c r="K4">
        <f t="shared" si="0"/>
        <v>2016</v>
      </c>
      <c r="L4">
        <f t="shared" si="0"/>
        <v>2017</v>
      </c>
      <c r="M4">
        <f t="shared" si="0"/>
        <v>2018</v>
      </c>
      <c r="N4">
        <f t="shared" si="0"/>
        <v>2019</v>
      </c>
      <c r="O4">
        <f t="shared" si="0"/>
        <v>2020</v>
      </c>
    </row>
    <row r="5" spans="1:16" ht="12.75">
      <c r="A5" t="s">
        <v>29</v>
      </c>
      <c r="B5" s="24">
        <f>Budsjett!B32</f>
        <v>5000</v>
      </c>
      <c r="D5" s="39" t="s">
        <v>97</v>
      </c>
      <c r="E5" s="2">
        <f>B5</f>
        <v>5000</v>
      </c>
      <c r="F5" s="2">
        <f>E5+F7+E8</f>
        <v>4375</v>
      </c>
      <c r="G5" s="2">
        <f aca="true" t="shared" si="1" ref="G5:O5">F5+G7+F8</f>
        <v>3750</v>
      </c>
      <c r="H5" s="2">
        <f t="shared" si="1"/>
        <v>3125</v>
      </c>
      <c r="I5" s="2">
        <f t="shared" si="1"/>
        <v>2500</v>
      </c>
      <c r="J5" s="2">
        <f t="shared" si="1"/>
        <v>1875</v>
      </c>
      <c r="K5" s="2">
        <f t="shared" si="1"/>
        <v>0</v>
      </c>
      <c r="L5" s="2">
        <f t="shared" si="1"/>
        <v>0</v>
      </c>
      <c r="M5" s="2">
        <f t="shared" si="1"/>
        <v>0</v>
      </c>
      <c r="N5" s="2">
        <f t="shared" si="1"/>
        <v>0</v>
      </c>
      <c r="O5" s="2">
        <f t="shared" si="1"/>
        <v>0</v>
      </c>
      <c r="P5" s="2"/>
    </row>
    <row r="6" spans="1:16" ht="12.75">
      <c r="A6" t="s">
        <v>30</v>
      </c>
      <c r="B6" s="25">
        <f>Budsjett!B33</f>
        <v>0.06</v>
      </c>
      <c r="D6" t="s">
        <v>33</v>
      </c>
      <c r="F6" s="2">
        <f>-$B$6*E5*F19*F22</f>
        <v>-300</v>
      </c>
      <c r="G6" s="2">
        <f aca="true" t="shared" si="2" ref="G6:O6">-$B$6*F5*G19*G22</f>
        <v>-262.5</v>
      </c>
      <c r="H6" s="2">
        <f t="shared" si="2"/>
        <v>-225</v>
      </c>
      <c r="I6" s="2">
        <f t="shared" si="2"/>
        <v>-187.5</v>
      </c>
      <c r="J6" s="2">
        <f t="shared" si="2"/>
        <v>-150</v>
      </c>
      <c r="K6" s="2">
        <f t="shared" si="2"/>
        <v>0</v>
      </c>
      <c r="L6" s="2">
        <f t="shared" si="2"/>
        <v>0</v>
      </c>
      <c r="M6" s="2">
        <f t="shared" si="2"/>
        <v>0</v>
      </c>
      <c r="N6">
        <f t="shared" si="2"/>
        <v>0</v>
      </c>
      <c r="O6">
        <f t="shared" si="2"/>
        <v>0</v>
      </c>
      <c r="P6" s="2"/>
    </row>
    <row r="7" spans="1:16" ht="12.75">
      <c r="A7" t="s">
        <v>31</v>
      </c>
      <c r="B7" s="24">
        <f>Budsjett!B34</f>
        <v>8</v>
      </c>
      <c r="D7" t="s">
        <v>11</v>
      </c>
      <c r="F7" s="2">
        <f aca="true" t="shared" si="3" ref="F7:O7">$B$8*F19*F22</f>
        <v>-625</v>
      </c>
      <c r="G7" s="2">
        <f t="shared" si="3"/>
        <v>-625</v>
      </c>
      <c r="H7" s="2">
        <f t="shared" si="3"/>
        <v>-625</v>
      </c>
      <c r="I7" s="2">
        <f t="shared" si="3"/>
        <v>-625</v>
      </c>
      <c r="J7" s="2">
        <f t="shared" si="3"/>
        <v>-625</v>
      </c>
      <c r="K7" s="2">
        <f t="shared" si="3"/>
        <v>0</v>
      </c>
      <c r="L7" s="2">
        <f t="shared" si="3"/>
        <v>0</v>
      </c>
      <c r="M7" s="2">
        <f t="shared" si="3"/>
        <v>0</v>
      </c>
      <c r="N7" s="2">
        <f t="shared" si="3"/>
        <v>0</v>
      </c>
      <c r="O7" s="2">
        <f t="shared" si="3"/>
        <v>0</v>
      </c>
      <c r="P7" s="2"/>
    </row>
    <row r="8" spans="1:17" ht="16.5" customHeight="1">
      <c r="A8" t="s">
        <v>11</v>
      </c>
      <c r="B8" s="24">
        <f>-B5/B7</f>
        <v>-625</v>
      </c>
      <c r="C8" s="19"/>
      <c r="D8" s="39" t="s">
        <v>85</v>
      </c>
      <c r="E8" s="2"/>
      <c r="F8" s="2">
        <f>F5*F20</f>
        <v>0</v>
      </c>
      <c r="G8" s="2">
        <f>G5*G20</f>
        <v>0</v>
      </c>
      <c r="H8" s="2">
        <f>H5*H20</f>
        <v>0</v>
      </c>
      <c r="I8" s="2">
        <f aca="true" t="shared" si="4" ref="I8:O8">-I5*I20</f>
        <v>0</v>
      </c>
      <c r="J8" s="2">
        <f t="shared" si="4"/>
        <v>-1875</v>
      </c>
      <c r="K8" s="2">
        <f t="shared" si="4"/>
        <v>0</v>
      </c>
      <c r="L8" s="2">
        <f t="shared" si="4"/>
        <v>0</v>
      </c>
      <c r="M8" s="2">
        <f t="shared" si="4"/>
        <v>0</v>
      </c>
      <c r="N8" s="2">
        <f t="shared" si="4"/>
        <v>0</v>
      </c>
      <c r="O8" s="2">
        <f t="shared" si="4"/>
        <v>0</v>
      </c>
      <c r="P8" s="2"/>
      <c r="Q8" s="2"/>
    </row>
    <row r="9" spans="4:16" ht="12.75">
      <c r="D9" s="4" t="s">
        <v>34</v>
      </c>
      <c r="E9" s="2">
        <f>SUM(E5:E7)</f>
        <v>5000</v>
      </c>
      <c r="F9" s="2">
        <f>SUM(F6:F8)</f>
        <v>-925</v>
      </c>
      <c r="G9" s="2">
        <f aca="true" t="shared" si="5" ref="G9:O9">SUM(G6:G8)</f>
        <v>-887.5</v>
      </c>
      <c r="H9" s="2">
        <f t="shared" si="5"/>
        <v>-850</v>
      </c>
      <c r="I9" s="2">
        <f t="shared" si="5"/>
        <v>-812.5</v>
      </c>
      <c r="J9" s="2">
        <f t="shared" si="5"/>
        <v>-2650</v>
      </c>
      <c r="K9" s="2">
        <f t="shared" si="5"/>
        <v>0</v>
      </c>
      <c r="L9" s="2">
        <f t="shared" si="5"/>
        <v>0</v>
      </c>
      <c r="M9" s="2">
        <f t="shared" si="5"/>
        <v>0</v>
      </c>
      <c r="N9" s="2">
        <f t="shared" si="5"/>
        <v>0</v>
      </c>
      <c r="O9" s="2">
        <f t="shared" si="5"/>
        <v>0</v>
      </c>
      <c r="P9" s="2"/>
    </row>
    <row r="11" spans="5:15" ht="12.75">
      <c r="E11" s="52" t="s">
        <v>2</v>
      </c>
      <c r="F11" s="52"/>
      <c r="G11" s="52"/>
      <c r="H11" s="52"/>
      <c r="I11" s="52"/>
      <c r="J11" s="52"/>
      <c r="K11" s="52"/>
      <c r="L11" s="52"/>
      <c r="M11" s="52"/>
      <c r="N11" s="52"/>
      <c r="O11" s="52"/>
    </row>
    <row r="12" spans="1:15" ht="12.75">
      <c r="A12" s="4" t="s">
        <v>35</v>
      </c>
      <c r="D12" s="39"/>
      <c r="E12">
        <f>E4</f>
        <v>2010</v>
      </c>
      <c r="F12">
        <f aca="true" t="shared" si="6" ref="F12:O12">F4</f>
        <v>2011</v>
      </c>
      <c r="G12">
        <f t="shared" si="6"/>
        <v>2012</v>
      </c>
      <c r="H12">
        <f t="shared" si="6"/>
        <v>2013</v>
      </c>
      <c r="I12">
        <f t="shared" si="6"/>
        <v>2014</v>
      </c>
      <c r="J12">
        <f t="shared" si="6"/>
        <v>2015</v>
      </c>
      <c r="K12">
        <f t="shared" si="6"/>
        <v>2016</v>
      </c>
      <c r="L12">
        <f t="shared" si="6"/>
        <v>2017</v>
      </c>
      <c r="M12">
        <f t="shared" si="6"/>
        <v>2018</v>
      </c>
      <c r="N12">
        <f t="shared" si="6"/>
        <v>2019</v>
      </c>
      <c r="O12">
        <f t="shared" si="6"/>
        <v>2020</v>
      </c>
    </row>
    <row r="13" spans="1:16" ht="12.75">
      <c r="A13" t="s">
        <v>29</v>
      </c>
      <c r="B13" s="24">
        <f>Budsjett!B36</f>
        <v>4000</v>
      </c>
      <c r="D13" s="39" t="s">
        <v>98</v>
      </c>
      <c r="E13" s="2">
        <f>B13</f>
        <v>4000</v>
      </c>
      <c r="F13" s="2">
        <f aca="true" t="shared" si="7" ref="F13:O13">(E13+F15)*F19*F25</f>
        <v>3268.83344198215</v>
      </c>
      <c r="G13" s="2">
        <f t="shared" si="7"/>
        <v>2504.7643888534967</v>
      </c>
      <c r="H13" s="2">
        <f t="shared" si="7"/>
        <v>1706.312228334054</v>
      </c>
      <c r="I13" s="2">
        <f t="shared" si="7"/>
        <v>871.9297205912363</v>
      </c>
      <c r="J13" s="2">
        <f t="shared" si="7"/>
        <v>-8.071765478234738E-12</v>
      </c>
      <c r="K13" s="2">
        <f t="shared" si="7"/>
        <v>0</v>
      </c>
      <c r="L13" s="2">
        <f t="shared" si="7"/>
        <v>0</v>
      </c>
      <c r="M13" s="2">
        <f t="shared" si="7"/>
        <v>0</v>
      </c>
      <c r="N13" s="2">
        <f t="shared" si="7"/>
        <v>0</v>
      </c>
      <c r="O13" s="2">
        <f t="shared" si="7"/>
        <v>0</v>
      </c>
      <c r="P13" s="2"/>
    </row>
    <row r="14" spans="1:16" ht="12.75">
      <c r="A14" t="s">
        <v>30</v>
      </c>
      <c r="B14" s="25">
        <f>Budsjett!B37</f>
        <v>0.045</v>
      </c>
      <c r="D14" t="s">
        <v>33</v>
      </c>
      <c r="F14" s="21">
        <f aca="true" t="shared" si="8" ref="F14:O14">-E13*$B$14*F19*F25</f>
        <v>-180</v>
      </c>
      <c r="G14" s="21">
        <f t="shared" si="8"/>
        <v>-147.09750488919673</v>
      </c>
      <c r="H14" s="21">
        <f t="shared" si="8"/>
        <v>-112.71439749840735</v>
      </c>
      <c r="I14" s="21">
        <f t="shared" si="8"/>
        <v>-76.78405027503243</v>
      </c>
      <c r="J14" s="21">
        <f t="shared" si="8"/>
        <v>-39.23683742660563</v>
      </c>
      <c r="K14" s="21">
        <f t="shared" si="8"/>
        <v>0</v>
      </c>
      <c r="L14" s="21">
        <f t="shared" si="8"/>
        <v>0</v>
      </c>
      <c r="M14" s="21">
        <f t="shared" si="8"/>
        <v>0</v>
      </c>
      <c r="N14" s="21">
        <f t="shared" si="8"/>
        <v>0</v>
      </c>
      <c r="O14" s="21">
        <f t="shared" si="8"/>
        <v>0</v>
      </c>
      <c r="P14" s="2"/>
    </row>
    <row r="15" spans="1:17" ht="13.5" customHeight="1">
      <c r="A15" t="s">
        <v>31</v>
      </c>
      <c r="B15" s="24">
        <f>Budsjett!B38</f>
        <v>5</v>
      </c>
      <c r="C15" s="19"/>
      <c r="D15" s="39" t="s">
        <v>11</v>
      </c>
      <c r="F15" s="12">
        <f aca="true" t="shared" si="9" ref="F15:O15">($B$16-F14)*F19*F25</f>
        <v>-731.1665580178501</v>
      </c>
      <c r="G15" s="12">
        <f t="shared" si="9"/>
        <v>-764.0690531286534</v>
      </c>
      <c r="H15" s="12">
        <f t="shared" si="9"/>
        <v>-798.4521605194427</v>
      </c>
      <c r="I15" s="12">
        <f t="shared" si="9"/>
        <v>-834.3825077428177</v>
      </c>
      <c r="J15" s="12">
        <f t="shared" si="9"/>
        <v>-871.9297205912444</v>
      </c>
      <c r="K15" s="12">
        <f t="shared" si="9"/>
        <v>0</v>
      </c>
      <c r="L15" s="12">
        <f t="shared" si="9"/>
        <v>0</v>
      </c>
      <c r="M15" s="12">
        <f t="shared" si="9"/>
        <v>0</v>
      </c>
      <c r="N15" s="12">
        <f t="shared" si="9"/>
        <v>0</v>
      </c>
      <c r="O15" s="12">
        <f t="shared" si="9"/>
        <v>0</v>
      </c>
      <c r="P15" s="2"/>
      <c r="Q15" s="12"/>
    </row>
    <row r="16" spans="1:16" ht="12.75">
      <c r="A16" t="s">
        <v>25</v>
      </c>
      <c r="B16" s="12">
        <f>PMT(B14,B15,B13)</f>
        <v>-911.1665580178501</v>
      </c>
      <c r="D16" s="39" t="s">
        <v>85</v>
      </c>
      <c r="E16" s="2"/>
      <c r="F16" s="2">
        <f aca="true" t="shared" si="10" ref="F16:O16">-F13*F20</f>
        <v>0</v>
      </c>
      <c r="G16" s="2">
        <f t="shared" si="10"/>
        <v>0</v>
      </c>
      <c r="H16" s="2">
        <f t="shared" si="10"/>
        <v>0</v>
      </c>
      <c r="I16" s="2">
        <f t="shared" si="10"/>
        <v>0</v>
      </c>
      <c r="J16" s="2">
        <f t="shared" si="10"/>
        <v>8.071765478234738E-12</v>
      </c>
      <c r="K16" s="2">
        <f t="shared" si="10"/>
        <v>0</v>
      </c>
      <c r="L16" s="2">
        <f t="shared" si="10"/>
        <v>0</v>
      </c>
      <c r="M16" s="2">
        <f t="shared" si="10"/>
        <v>0</v>
      </c>
      <c r="N16" s="2">
        <f t="shared" si="10"/>
        <v>0</v>
      </c>
      <c r="O16" s="2">
        <f t="shared" si="10"/>
        <v>0</v>
      </c>
      <c r="P16" s="2"/>
    </row>
    <row r="17" spans="4:16" ht="12.75">
      <c r="D17" s="4" t="s">
        <v>36</v>
      </c>
      <c r="E17" s="2">
        <f>E13</f>
        <v>4000</v>
      </c>
      <c r="F17" s="21">
        <f>SUM(F14:F16)</f>
        <v>-911.1665580178501</v>
      </c>
      <c r="G17" s="21">
        <f>SUM(G14:G16)</f>
        <v>-911.1665580178501</v>
      </c>
      <c r="H17" s="21">
        <f>SUM(H14:H16)</f>
        <v>-911.1665580178501</v>
      </c>
      <c r="I17" s="21">
        <f>SUM(I14:I16)</f>
        <v>-911.1665580178501</v>
      </c>
      <c r="J17" s="21">
        <f aca="true" t="shared" si="11" ref="J17:O17">SUM(J14:J15)</f>
        <v>-911.1665580178501</v>
      </c>
      <c r="K17" s="21">
        <f t="shared" si="11"/>
        <v>0</v>
      </c>
      <c r="L17" s="21">
        <f t="shared" si="11"/>
        <v>0</v>
      </c>
      <c r="M17" s="21">
        <f t="shared" si="11"/>
        <v>0</v>
      </c>
      <c r="N17" s="21">
        <f t="shared" si="11"/>
        <v>0</v>
      </c>
      <c r="O17" s="21">
        <f t="shared" si="11"/>
        <v>0</v>
      </c>
      <c r="P17" s="2"/>
    </row>
    <row r="18" spans="6:15" ht="12.75">
      <c r="F18" s="21"/>
      <c r="G18" s="21"/>
      <c r="H18" s="21"/>
      <c r="I18" s="21"/>
      <c r="J18" s="21"/>
      <c r="K18" s="21"/>
      <c r="L18" s="21"/>
      <c r="M18" s="21"/>
      <c r="N18" s="21"/>
      <c r="O18" s="21"/>
    </row>
    <row r="19" spans="1:15" ht="12.75" hidden="1" outlineLevel="1">
      <c r="A19" s="39" t="s">
        <v>83</v>
      </c>
      <c r="F19">
        <f>IF(F4-$E$4&lt;=Budsjett!$B$2,1,0)</f>
        <v>1</v>
      </c>
      <c r="G19">
        <f>IF(G4-$E$4&lt;=Budsjett!$B$2,1,0)</f>
        <v>1</v>
      </c>
      <c r="H19">
        <f>IF(H4-$E$4&lt;=Budsjett!$B$2,1,0)</f>
        <v>1</v>
      </c>
      <c r="I19">
        <f>IF(I4-$E$4&lt;=Budsjett!$B$2,1,0)</f>
        <v>1</v>
      </c>
      <c r="J19">
        <f>IF(J4-$E$4&lt;=Budsjett!$B$2,1,0)</f>
        <v>1</v>
      </c>
      <c r="K19">
        <f>IF(K4-$E$4&lt;=Budsjett!$B$2,1,0)</f>
        <v>0</v>
      </c>
      <c r="L19">
        <f>IF(L4-$E$4&lt;=Budsjett!$B$2,1,0)</f>
        <v>0</v>
      </c>
      <c r="M19">
        <f>IF(M4-$E$4&lt;=Budsjett!$B$2,1,0)</f>
        <v>0</v>
      </c>
      <c r="N19">
        <f>IF(N4-$E$4&lt;=Budsjett!$B$2,1,0)</f>
        <v>0</v>
      </c>
      <c r="O19">
        <f>IF(O4-$E$4&lt;=Budsjett!$B$2,1,0)</f>
        <v>0</v>
      </c>
    </row>
    <row r="20" spans="1:15" ht="12.75" hidden="1" outlineLevel="1">
      <c r="A20" s="39" t="s">
        <v>84</v>
      </c>
      <c r="F20">
        <f>IF(F4-$E$4=Budsjett!$B$2,1,0)</f>
        <v>0</v>
      </c>
      <c r="G20">
        <f>IF(G4-$E$4=Budsjett!$B$2,1,0)</f>
        <v>0</v>
      </c>
      <c r="H20">
        <f>IF(H4-$E$4=Budsjett!$B$2,1,0)</f>
        <v>0</v>
      </c>
      <c r="I20">
        <f>IF(I4-$E$4=Budsjett!$B$2,1,0)</f>
        <v>0</v>
      </c>
      <c r="J20">
        <f>IF(J4-$E$4=Budsjett!$B$2,1,0)</f>
        <v>1</v>
      </c>
      <c r="K20">
        <f>IF(K4-$E$4=Budsjett!$B$2,1,0)</f>
        <v>0</v>
      </c>
      <c r="L20">
        <f>IF(L4-$E$4=Budsjett!$B$2,1,0)</f>
        <v>0</v>
      </c>
      <c r="M20">
        <f>IF(M4-$E$4=Budsjett!$B$2,1,0)</f>
        <v>0</v>
      </c>
      <c r="N20">
        <f>IF(N4-$E$4=Budsjett!$B$2,1,0)</f>
        <v>0</v>
      </c>
      <c r="O20">
        <f>IF(O4-$E$4=Budsjett!$B$2,1,0)</f>
        <v>0</v>
      </c>
    </row>
    <row r="21" ht="12.75" hidden="1" outlineLevel="1">
      <c r="A21" s="39"/>
    </row>
    <row r="22" spans="1:15" ht="12.75" hidden="1" outlineLevel="1">
      <c r="A22" s="39" t="s">
        <v>79</v>
      </c>
      <c r="E22" s="2"/>
      <c r="F22" s="2">
        <f aca="true" t="shared" si="12" ref="F22:O22">IF(F4-$F$4&lt;$B$7,1,0)</f>
        <v>1</v>
      </c>
      <c r="G22" s="2">
        <f t="shared" si="12"/>
        <v>1</v>
      </c>
      <c r="H22" s="2">
        <f t="shared" si="12"/>
        <v>1</v>
      </c>
      <c r="I22" s="2">
        <f t="shared" si="12"/>
        <v>1</v>
      </c>
      <c r="J22" s="2">
        <f t="shared" si="12"/>
        <v>1</v>
      </c>
      <c r="K22" s="2">
        <f t="shared" si="12"/>
        <v>1</v>
      </c>
      <c r="L22" s="2">
        <f t="shared" si="12"/>
        <v>1</v>
      </c>
      <c r="M22" s="2">
        <f t="shared" si="12"/>
        <v>1</v>
      </c>
      <c r="N22" s="2">
        <f t="shared" si="12"/>
        <v>0</v>
      </c>
      <c r="O22" s="2">
        <f t="shared" si="12"/>
        <v>0</v>
      </c>
    </row>
    <row r="23" spans="1:15" ht="12.75" hidden="1" outlineLevel="1">
      <c r="A23" s="39" t="s">
        <v>80</v>
      </c>
      <c r="F23">
        <f>IF(F12-$E$12=Budsjett!$B$34,1,0)</f>
        <v>0</v>
      </c>
      <c r="G23">
        <f>IF(G12-$E$12=Budsjett!$B$34,1,0)</f>
        <v>0</v>
      </c>
      <c r="H23">
        <f>IF(H12-$E$12=Budsjett!$B$34,1,0)</f>
        <v>0</v>
      </c>
      <c r="I23">
        <f>IF(I12-$E$12=Budsjett!$B$34,1,0)</f>
        <v>0</v>
      </c>
      <c r="J23">
        <f>IF(J12-$E$12=Budsjett!$B$34,1,0)</f>
        <v>0</v>
      </c>
      <c r="K23">
        <f>IF(K12-$E$12=Budsjett!$B$34,1,0)</f>
        <v>0</v>
      </c>
      <c r="L23">
        <f>IF(L12-$E$12=Budsjett!$B$34,1,0)</f>
        <v>0</v>
      </c>
      <c r="M23">
        <f>IF(M12-$E$12=Budsjett!$B$34,1,0)</f>
        <v>1</v>
      </c>
      <c r="N23">
        <f>IF(N12-$E$12=Budsjett!$B$34,1,0)</f>
        <v>0</v>
      </c>
      <c r="O23">
        <f>IF(O12-$E$12=Budsjett!$B$34,1,0)</f>
        <v>0</v>
      </c>
    </row>
    <row r="24" spans="1:15" ht="12.75" hidden="1" outlineLevel="1">
      <c r="A24" s="39"/>
      <c r="E24" s="2"/>
      <c r="F24" s="2"/>
      <c r="G24" s="2"/>
      <c r="H24" s="2"/>
      <c r="I24" s="2"/>
      <c r="J24" s="2"/>
      <c r="K24" s="33"/>
      <c r="L24" s="33"/>
      <c r="M24" s="33"/>
      <c r="N24" s="33"/>
      <c r="O24" s="33"/>
    </row>
    <row r="25" spans="1:15" ht="12.75" hidden="1" outlineLevel="1">
      <c r="A25" s="39" t="s">
        <v>81</v>
      </c>
      <c r="F25">
        <f>IF(F12-$F$12&lt;Budsjett!$B$38,1,0)</f>
        <v>1</v>
      </c>
      <c r="G25">
        <f>IF(G12-$F$12&lt;Budsjett!$B$38,1,0)</f>
        <v>1</v>
      </c>
      <c r="H25">
        <f>IF(H12-$F$12&lt;Budsjett!$B$38,1,0)</f>
        <v>1</v>
      </c>
      <c r="I25">
        <f>IF(I12-$F$12&lt;Budsjett!$B$38,1,0)</f>
        <v>1</v>
      </c>
      <c r="J25">
        <f>IF(J12-$F$12&lt;Budsjett!$B$38,1,0)</f>
        <v>1</v>
      </c>
      <c r="K25">
        <f>IF(K12-$F$12&lt;Budsjett!$B$38,1,0)</f>
        <v>0</v>
      </c>
      <c r="L25">
        <f>IF(L12-$F$12&lt;Budsjett!$B$38,1,0)</f>
        <v>0</v>
      </c>
      <c r="M25">
        <f>IF(M12-$F$12&lt;Budsjett!$B$38,1,0)</f>
        <v>0</v>
      </c>
      <c r="N25">
        <f>IF(N12-$F$12&lt;Budsjett!$B$38,1,0)</f>
        <v>0</v>
      </c>
      <c r="O25">
        <f>IF(O12-$F$12&lt;Budsjett!$B$38,1,0)</f>
        <v>0</v>
      </c>
    </row>
    <row r="26" spans="1:15" ht="12.75" hidden="1" outlineLevel="1">
      <c r="A26" s="39" t="s">
        <v>82</v>
      </c>
      <c r="F26">
        <f>IF(F12-$E$12=Budsjett!$B$38,1,0)</f>
        <v>0</v>
      </c>
      <c r="G26">
        <f>IF(G12-$E$12=Budsjett!$B$38,1,0)</f>
        <v>0</v>
      </c>
      <c r="H26">
        <f>IF(H12-$E$12=Budsjett!$B$38,1,0)</f>
        <v>0</v>
      </c>
      <c r="I26">
        <f>IF(I12-$E$12=Budsjett!$B$38,1,0)</f>
        <v>0</v>
      </c>
      <c r="J26">
        <f>IF(J12-$E$12=Budsjett!$B$38,1,0)</f>
        <v>1</v>
      </c>
      <c r="K26">
        <f>IF(K12-$E$12=Budsjett!$B$38,1,0)</f>
        <v>0</v>
      </c>
      <c r="L26">
        <f>IF(L12-$E$12=Budsjett!$B$38,1,0)</f>
        <v>0</v>
      </c>
      <c r="M26">
        <f>IF(M12-$E$12=Budsjett!$B$38,1,0)</f>
        <v>0</v>
      </c>
      <c r="N26">
        <f>IF(N12-$E$12=Budsjett!$B$38,1,0)</f>
        <v>0</v>
      </c>
      <c r="O26">
        <f>IF(O12-$E$12=Budsjett!$B$38,1,0)</f>
        <v>0</v>
      </c>
    </row>
    <row r="27" ht="12.75" collapsed="1"/>
  </sheetData>
  <sheetProtection/>
  <mergeCells count="2">
    <mergeCell ref="E3:O3"/>
    <mergeCell ref="E11:O11"/>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2008-07-15T11:38:16Z</dcterms:created>
  <dcterms:modified xsi:type="dcterms:W3CDTF">2010-06-24T08:19:42Z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