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comments5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6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7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8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omments9.xml" ContentType="application/vnd.openxmlformats-officedocument.spreadsheetml.comment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10.xml" ContentType="application/vnd.openxmlformats-officedocument.spreadsheetml.comments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kap_6\fif_2019_kap_6_nettside_regneark_for_bok\"/>
    </mc:Choice>
  </mc:AlternateContent>
  <xr:revisionPtr revIDLastSave="0" documentId="13_ncr:1_{537F4D22-CF76-447C-ABA9-46B279F2DDAB}" xr6:coauthVersionLast="45" xr6:coauthVersionMax="45" xr10:uidLastSave="{00000000-0000-0000-0000-000000000000}"/>
  <bookViews>
    <workbookView xWindow="285" yWindow="255" windowWidth="21780" windowHeight="15105" tabRatio="776" activeTab="2" xr2:uid="{00000000-000D-0000-FFFF-FFFF00000000}"/>
  </bookViews>
  <sheets>
    <sheet name="Tabell 6.2" sheetId="11" r:id="rId1"/>
    <sheet name="Tabell 6.3" sheetId="16" r:id="rId2"/>
    <sheet name="Tabell 6.4" sheetId="17" r:id="rId3"/>
    <sheet name="Tabell 6.5" sheetId="19" r:id="rId4"/>
    <sheet name="Figur 6.1" sheetId="15" r:id="rId5"/>
    <sheet name="Figur 6.2" sheetId="2" r:id="rId6"/>
    <sheet name="Figur 6.3" sheetId="18" r:id="rId7"/>
    <sheet name="Figur 6.4" sheetId="20" r:id="rId8"/>
    <sheet name="Figur 6.5" sheetId="14" r:id="rId9"/>
    <sheet name="Figur 6.6" sheetId="2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21" l="1"/>
  <c r="C4" i="21"/>
  <c r="D4" i="21"/>
  <c r="F9" i="19"/>
  <c r="E9" i="19"/>
  <c r="D9" i="19"/>
  <c r="C9" i="19"/>
  <c r="B9" i="19"/>
  <c r="F10" i="20"/>
  <c r="E10" i="20"/>
  <c r="D10" i="20"/>
  <c r="C10" i="20"/>
  <c r="B10" i="20"/>
  <c r="F34" i="20"/>
  <c r="E34" i="20"/>
  <c r="D34" i="20"/>
  <c r="C34" i="20"/>
  <c r="B34" i="20"/>
  <c r="F8" i="17"/>
  <c r="E8" i="17"/>
  <c r="D8" i="17"/>
  <c r="C8" i="17"/>
  <c r="B8" i="17"/>
  <c r="C6" i="2"/>
  <c r="D6" i="2"/>
  <c r="E6" i="2"/>
  <c r="F6" i="2"/>
  <c r="B6" i="2"/>
  <c r="F6" i="18"/>
  <c r="E6" i="18"/>
  <c r="D6" i="18"/>
  <c r="C6" i="18"/>
  <c r="B6" i="18"/>
  <c r="G15" i="16"/>
  <c r="F10" i="16"/>
  <c r="F11" i="16" s="1"/>
  <c r="F13" i="16" s="1"/>
  <c r="P10" i="16"/>
  <c r="P8" i="16"/>
  <c r="O8" i="16"/>
  <c r="N8" i="16"/>
  <c r="M8" i="16"/>
  <c r="L8" i="16"/>
  <c r="K8" i="16"/>
  <c r="J8" i="16"/>
  <c r="I8" i="16"/>
  <c r="H8" i="16"/>
  <c r="G8" i="16"/>
  <c r="P6" i="16"/>
  <c r="O6" i="16"/>
  <c r="N6" i="16"/>
  <c r="M6" i="16"/>
  <c r="L6" i="16"/>
  <c r="K6" i="16"/>
  <c r="J6" i="16"/>
  <c r="I6" i="16"/>
  <c r="H6" i="16"/>
  <c r="G6" i="16"/>
  <c r="P5" i="16"/>
  <c r="O5" i="16"/>
  <c r="N5" i="16"/>
  <c r="M5" i="16"/>
  <c r="L5" i="16"/>
  <c r="K5" i="16"/>
  <c r="J5" i="16"/>
  <c r="I5" i="16"/>
  <c r="H5" i="16"/>
  <c r="G5" i="16"/>
  <c r="P4" i="16"/>
  <c r="O4" i="16"/>
  <c r="O7" i="16"/>
  <c r="O11" i="16" s="1"/>
  <c r="N4" i="16"/>
  <c r="M4" i="16"/>
  <c r="L4" i="16"/>
  <c r="K4" i="16"/>
  <c r="J4" i="16"/>
  <c r="I4" i="16"/>
  <c r="H4" i="16"/>
  <c r="G4" i="16"/>
  <c r="G7" i="16" s="1"/>
  <c r="G11" i="16" s="1"/>
  <c r="G3" i="16"/>
  <c r="H3" i="16" s="1"/>
  <c r="H5" i="15"/>
  <c r="B24" i="15"/>
  <c r="A11" i="15"/>
  <c r="A10" i="15"/>
  <c r="D9" i="15"/>
  <c r="C24" i="15" s="1"/>
  <c r="B9" i="15"/>
  <c r="C4" i="15"/>
  <c r="D4" i="15" s="1"/>
  <c r="E4" i="15" s="1"/>
  <c r="F4" i="15" s="1"/>
  <c r="G4" i="15" s="1"/>
  <c r="B13" i="14"/>
  <c r="C8" i="14"/>
  <c r="H8" i="14" s="1"/>
  <c r="G8" i="14"/>
  <c r="B8" i="14"/>
  <c r="C7" i="14"/>
  <c r="G7" i="14" s="1"/>
  <c r="I6" i="14"/>
  <c r="H6" i="14"/>
  <c r="G6" i="14"/>
  <c r="F6" i="14"/>
  <c r="E6" i="14"/>
  <c r="D6" i="14"/>
  <c r="C5" i="14"/>
  <c r="D5" i="14" s="1"/>
  <c r="C4" i="14"/>
  <c r="E4" i="14" s="1"/>
  <c r="C26" i="11"/>
  <c r="C27" i="11" s="1"/>
  <c r="F26" i="11"/>
  <c r="F27" i="11" s="1"/>
  <c r="E26" i="11"/>
  <c r="E27" i="11" s="1"/>
  <c r="D26" i="11"/>
  <c r="D27" i="11" s="1"/>
  <c r="B26" i="11"/>
  <c r="B27" i="11" s="1"/>
  <c r="C13" i="11"/>
  <c r="D13" i="11" s="1"/>
  <c r="E13" i="11" s="1"/>
  <c r="F13" i="11" s="1"/>
  <c r="G13" i="11" s="1"/>
  <c r="C14" i="11"/>
  <c r="D14" i="11" s="1"/>
  <c r="D15" i="11" s="1"/>
  <c r="C16" i="11"/>
  <c r="D16" i="11" s="1"/>
  <c r="E16" i="11" s="1"/>
  <c r="F16" i="11" s="1"/>
  <c r="G16" i="11" s="1"/>
  <c r="B17" i="11"/>
  <c r="B18" i="11" s="1"/>
  <c r="F7" i="14"/>
  <c r="E7" i="14"/>
  <c r="G5" i="14"/>
  <c r="I7" i="16" l="1"/>
  <c r="I11" i="16" s="1"/>
  <c r="M7" i="16"/>
  <c r="M11" i="16" s="1"/>
  <c r="D18" i="11"/>
  <c r="I5" i="14"/>
  <c r="E5" i="14"/>
  <c r="H5" i="14"/>
  <c r="N7" i="16"/>
  <c r="I3" i="16"/>
  <c r="I12" i="16" s="1"/>
  <c r="I13" i="16" s="1"/>
  <c r="H12" i="16"/>
  <c r="E9" i="15"/>
  <c r="E10" i="15" s="1"/>
  <c r="N11" i="16"/>
  <c r="G12" i="16"/>
  <c r="F8" i="14"/>
  <c r="P7" i="16"/>
  <c r="P11" i="16" s="1"/>
  <c r="H7" i="16"/>
  <c r="H11" i="16" s="1"/>
  <c r="H7" i="14"/>
  <c r="C15" i="11"/>
  <c r="C18" i="11" s="1"/>
  <c r="D7" i="14"/>
  <c r="K7" i="16"/>
  <c r="K11" i="16" s="1"/>
  <c r="B10" i="15"/>
  <c r="L7" i="16"/>
  <c r="L11" i="16" s="1"/>
  <c r="H13" i="16"/>
  <c r="J7" i="16"/>
  <c r="J11" i="16" s="1"/>
  <c r="G13" i="16"/>
  <c r="F4" i="14"/>
  <c r="D8" i="14"/>
  <c r="D4" i="14"/>
  <c r="D10" i="15"/>
  <c r="G4" i="14"/>
  <c r="E14" i="11"/>
  <c r="H4" i="14"/>
  <c r="C10" i="15"/>
  <c r="E8" i="14"/>
  <c r="F5" i="14"/>
  <c r="I4" i="14"/>
  <c r="I8" i="14"/>
  <c r="I7" i="14"/>
  <c r="J3" i="16" l="1"/>
  <c r="F14" i="16"/>
  <c r="F15" i="16"/>
  <c r="F9" i="15"/>
  <c r="D24" i="15"/>
  <c r="K3" i="16"/>
  <c r="J12" i="16"/>
  <c r="J13" i="16" s="1"/>
  <c r="E15" i="11"/>
  <c r="E18" i="11" s="1"/>
  <c r="F14" i="11"/>
  <c r="G9" i="15" l="1"/>
  <c r="E24" i="15"/>
  <c r="F10" i="15"/>
  <c r="F15" i="11"/>
  <c r="F18" i="11" s="1"/>
  <c r="B21" i="11" s="1"/>
  <c r="G14" i="11"/>
  <c r="G15" i="11" s="1"/>
  <c r="G18" i="11" s="1"/>
  <c r="L3" i="16"/>
  <c r="K12" i="16"/>
  <c r="K13" i="16" s="1"/>
  <c r="B20" i="11" l="1"/>
  <c r="H9" i="15"/>
  <c r="F24" i="15"/>
  <c r="G10" i="15"/>
  <c r="L12" i="16"/>
  <c r="L13" i="16" s="1"/>
  <c r="M3" i="16"/>
  <c r="H10" i="15" l="1"/>
  <c r="G24" i="15"/>
  <c r="N3" i="16"/>
  <c r="M12" i="16"/>
  <c r="M13" i="16" s="1"/>
  <c r="O3" i="16" l="1"/>
  <c r="N12" i="16"/>
  <c r="N13" i="16" s="1"/>
  <c r="P3" i="16" l="1"/>
  <c r="P12" i="16" s="1"/>
  <c r="P13" i="16" s="1"/>
  <c r="O12" i="16"/>
  <c r="O13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000-000001000000}">
      <text>
        <r>
          <rPr>
            <sz val="11"/>
            <color indexed="81"/>
            <rFont val="Times New Roman"/>
            <family val="1"/>
          </rPr>
          <t xml:space="preserve">Denne modellen beregner sammenhengen mellom produktpris og nåverdi i tabell 6.2. Fet font angir inngangsverdi, dvs. data du må legge inn. Vanlig font betyr utgangsverdi, dvs. beregnede tall. 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900-000001000000}">
      <text>
        <r>
          <rPr>
            <b/>
            <sz val="9"/>
            <color indexed="81"/>
            <rFont val="Tahoma"/>
            <charset val="1"/>
          </rPr>
          <t>Til FBF:</t>
        </r>
        <r>
          <rPr>
            <sz val="9"/>
            <color indexed="81"/>
            <rFont val="Tahoma"/>
            <charset val="1"/>
          </rPr>
          <t xml:space="preserve">
Jeg klarer ikke å få på plass verdiene på x-aksen. Dessuten vil jeg gjerne ha en pil fra pkt 1 (altså 6) opp til grafen og inn til y-aksen. Pil tilsvarende vei fra 2 (dvs 12) til y-asken, og pil motsatt vei for det siste punktet (fra 12 på y-aksen til 18,8 på x-aksen). Gjerne et kryss i hvert datapunkt  Dessuten må FBF skrive inn Lønnsom/Ulønnsom og passe på at det ikke er lik avstand mellom punktene på x-aksen. Tekst vertikal akse skal være som i nåværende bok.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100-000001000000}">
      <text>
        <r>
          <rPr>
            <sz val="11"/>
            <color indexed="81"/>
            <rFont val="Times New Roman"/>
            <family val="1"/>
          </rPr>
          <t xml:space="preserve">Med dette regnearket kan du beregne lønnsomheten av utvidelsen i AS Alu. Beregningen er gjengitt i tabell 6.3. Fet font angir inngangsverdi, dvs. data du må legge inn. Vanlig font betyr utgangsverdi, dvs. beregnede tall.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200-000001000000}">
      <text>
        <r>
          <rPr>
            <sz val="11"/>
            <color indexed="81"/>
            <rFont val="Times New Roman"/>
            <family val="1"/>
          </rPr>
          <t xml:space="preserve">Denne modellen beregner sammenhengen mellom produktpris og internrente for Janus prosjektet som vist i tabell 6.4. Fet font angir inngangsverdi, dvs. data du må legge inn. Vanlig font betyr utgangsverdi, dvs. beregnede tall.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 xml:space="preserve">Denne modellen beregner sammenhengen mellom nåverdi og prosentvis endring i produktpris for Janus prosjektet som vist i tabell 6.5. Fet font angir inngangsverdi, dvs. data du må legge inn. Vanlig font betyr utgangsverdi, dvs. beregnede tall.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 xml:space="preserve">Denne modellen beregner og tegner nåverdiprofil for Janus prosjektet fra tabell 6.1. Nåverdiprofilen er vist i figur 6.1.Fet font angir inngangsverdi, dvs. data du må legge inn. Vanlig font betyr utgangsverdi, dvs. beregnede tall. </t>
        </r>
      </text>
    </comment>
    <comment ref="B24" authorId="0" shapeId="0" xr:uid="{00000000-0006-0000-0400-000002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500-000001000000}">
      <text>
        <r>
          <rPr>
            <sz val="11"/>
            <color indexed="81"/>
            <rFont val="Times New Roman"/>
            <family val="1"/>
          </rPr>
          <t xml:space="preserve">I dette regnearket  beregner og tegner vi sammenhengen mellom produktpris og nåverdi for Janus prosjektet fra tabell 6.1. Nåverdiprofilen er vist i figur 6.2. Fet font angir inngangsverdi, dvs. data du må legge inn. Vanlig font betyr utgangsverdi, dvs. beregnede tall.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600-000001000000}">
      <text>
        <r>
          <rPr>
            <sz val="11"/>
            <color indexed="81"/>
            <rFont val="Times New Roman"/>
            <family val="1"/>
          </rPr>
          <t xml:space="preserve">Denne modellen beregner og tegner sammenhengen mellom produktpris og internrente for Janus prosjektet fra tabell 6.1. Sammenhengen er vist grafisk i figur 6.3. Fet font angir inngangsverdi, dvs. data du må legge inn. Vanlig font betyr utgangsverdi, dvs. beregnede tall.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700-000001000000}">
      <text>
        <r>
          <rPr>
            <sz val="11"/>
            <color indexed="81"/>
            <rFont val="Times New Roman"/>
            <family val="1"/>
          </rPr>
          <t xml:space="preserve">Denne modellen beregner og tegner sammenhengen mellom nåverdi og prosentvis endring i produktpris for Janus prosjektet som vist i figur 6.4. Fet font angir inngangsverdi, dvs. data du må legge inn. Vanlig font betyr utgangsverdi, dvs. beregnede tall.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800-000001000000}">
      <text>
        <r>
          <rPr>
            <sz val="11"/>
            <color indexed="81"/>
            <rFont val="Times New Roman"/>
            <family val="1"/>
          </rPr>
          <t xml:space="preserve">Denne modellen beregner og tegner sammenhengen mellom nåverdi og prosentvis endring i produktpris, volum, levetid, faste kostnader og variable enhetskostander for Janus prosjektet som vist i figur 6.5. Fet font angir inngangsverdi, dvs. data du må legge inn. Vanlig font betyr utgangsverdi, dvs. beregnede tall. </t>
        </r>
      </text>
    </comment>
  </commentList>
</comments>
</file>

<file path=xl/sharedStrings.xml><?xml version="1.0" encoding="utf-8"?>
<sst xmlns="http://schemas.openxmlformats.org/spreadsheetml/2006/main" count="127" uniqueCount="74">
  <si>
    <t xml:space="preserve"> </t>
  </si>
  <si>
    <t>Nåverdi</t>
  </si>
  <si>
    <t>Kontantstrøm</t>
  </si>
  <si>
    <t>Internrente</t>
  </si>
  <si>
    <t>Investering</t>
  </si>
  <si>
    <t>Salgspris, kr/enhet</t>
  </si>
  <si>
    <t>Variable kostnader, kr/enhet</t>
  </si>
  <si>
    <t>Planperiode, år</t>
  </si>
  <si>
    <t>Risikofri rente etter skatt, %</t>
  </si>
  <si>
    <t>Salg</t>
  </si>
  <si>
    <t>Variable innbetalinger</t>
  </si>
  <si>
    <t>Faste utbetalinger</t>
  </si>
  <si>
    <t>Salgsvolum, tusen enheter/år</t>
  </si>
  <si>
    <t>Investering, 1000 kr</t>
  </si>
  <si>
    <t>Faste kostnader, tusen kr/år</t>
  </si>
  <si>
    <t>Basistilfellet</t>
  </si>
  <si>
    <t>Alternative priser</t>
  </si>
  <si>
    <t>Årlig nettoinntjening</t>
  </si>
  <si>
    <t>Pris (kr)</t>
  </si>
  <si>
    <t>Endring fra basis</t>
  </si>
  <si>
    <t>Variabel</t>
  </si>
  <si>
    <t>Pris, kr</t>
  </si>
  <si>
    <t>Volum, 1000 enheter</t>
  </si>
  <si>
    <t>Faktor</t>
  </si>
  <si>
    <t>%-vis endring</t>
  </si>
  <si>
    <t>Intervall</t>
  </si>
  <si>
    <t>Pris</t>
  </si>
  <si>
    <t>Volum</t>
  </si>
  <si>
    <t>VEK</t>
  </si>
  <si>
    <t>FK</t>
  </si>
  <si>
    <t>Levetid</t>
  </si>
  <si>
    <t>Les dette</t>
  </si>
  <si>
    <t>Janus</t>
  </si>
  <si>
    <t>År</t>
  </si>
  <si>
    <t>Prosjekt</t>
  </si>
  <si>
    <t>Beta</t>
  </si>
  <si>
    <t>Kapitalkostnad</t>
  </si>
  <si>
    <t>Aluminium</t>
  </si>
  <si>
    <t>tonn</t>
  </si>
  <si>
    <t>kr/tonn</t>
  </si>
  <si>
    <t>mill. kr</t>
  </si>
  <si>
    <t>Alumina</t>
  </si>
  <si>
    <t>"</t>
  </si>
  <si>
    <t>Elektrisitet</t>
  </si>
  <si>
    <t>kWh</t>
  </si>
  <si>
    <t>kr/kWh</t>
  </si>
  <si>
    <t>Dekningsbidrag</t>
  </si>
  <si>
    <t>Arbeidskraft</t>
  </si>
  <si>
    <t>årsverk</t>
  </si>
  <si>
    <t>kr/årsverk</t>
  </si>
  <si>
    <t>Anleggskapital/restverdi</t>
  </si>
  <si>
    <t>Arbeidskapital</t>
  </si>
  <si>
    <t>Kapitalkostnad/Nåverdi</t>
  </si>
  <si>
    <t>Pris (kr.)</t>
  </si>
  <si>
    <t>Nåverdi (tusen kr.)</t>
  </si>
  <si>
    <t>Beløp i tusen</t>
  </si>
  <si>
    <t>Nåverdi (tusen kr)</t>
  </si>
  <si>
    <t>Kontantstrømselement (tusen kr)</t>
  </si>
  <si>
    <t>Investering (tusen kr)</t>
  </si>
  <si>
    <t xml:space="preserve">Avkastningskrav </t>
  </si>
  <si>
    <t>Variable enhetskostnader (VEK), kr</t>
  </si>
  <si>
    <t>Levetid, år</t>
  </si>
  <si>
    <t xml:space="preserve">Faste kostnader (FK), 1 000 kr </t>
  </si>
  <si>
    <t>Årlig nettoinntjening, 1 000 kr</t>
  </si>
  <si>
    <t xml:space="preserve">Investering, 1 000 kr </t>
  </si>
  <si>
    <t>Nåverdi, 1 000 kr</t>
  </si>
  <si>
    <r>
      <t>I</t>
    </r>
    <r>
      <rPr>
        <vertAlign val="subscript"/>
        <sz val="11"/>
        <rFont val="Times New Roman"/>
        <family val="1"/>
      </rPr>
      <t>0</t>
    </r>
    <r>
      <rPr>
        <sz val="11"/>
        <rFont val="Times New Roman"/>
        <family val="1"/>
      </rPr>
      <t>/X</t>
    </r>
  </si>
  <si>
    <t>Kontantstrømslement (tusen kroner)</t>
  </si>
  <si>
    <t>Nåverdi (tusen kroner)</t>
  </si>
  <si>
    <t>Pris (kroner/enhet)</t>
  </si>
  <si>
    <t>Investering (tusen kroner)</t>
  </si>
  <si>
    <t>Levetid (år)</t>
  </si>
  <si>
    <t>Planperiode (År)</t>
  </si>
  <si>
    <t>Kontantstrømselement  (tusen kroner)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</si>
</sst>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kr&quot;\ #,##0;[Red]&quot;kr&quot;\ \-#,##0"/>
    <numFmt numFmtId="164" formatCode="_(* #,##0.00_);_(* \(#,##0.00\);_(* &quot;-&quot;??_);_(@_)"/>
    <numFmt numFmtId="165" formatCode="0.0\ %"/>
    <numFmt numFmtId="166" formatCode="0.000"/>
    <numFmt numFmtId="167" formatCode="_(* #,##0_);_(* \(#,##0\);_(* &quot;-&quot;??_);_(@_)"/>
    <numFmt numFmtId="168" formatCode="0.0000000\ %"/>
    <numFmt numFmtId="169" formatCode="#,##0_ ;\-#,##0\ "/>
    <numFmt numFmtId="170" formatCode="#,##0.0_ ;[Red]\-#,##0.0\ "/>
  </numFmts>
  <fonts count="17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81"/>
      <name val="Times New Roman"/>
      <family val="1"/>
    </font>
    <font>
      <sz val="12"/>
      <color indexed="81"/>
      <name val="Tahoma"/>
      <family val="2"/>
    </font>
    <font>
      <sz val="9"/>
      <color indexed="81"/>
      <name val="Tahoma"/>
      <family val="2"/>
    </font>
    <font>
      <b/>
      <sz val="1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  <font>
      <vertAlign val="subscript"/>
      <sz val="11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0" xfId="2" quotePrefix="1" applyFont="1" applyAlignment="1">
      <alignment horizontal="left"/>
    </xf>
    <xf numFmtId="3" fontId="3" fillId="0" borderId="0" xfId="2" applyNumberFormat="1" applyFont="1"/>
    <xf numFmtId="3" fontId="8" fillId="0" borderId="0" xfId="2" applyNumberFormat="1" applyFont="1"/>
    <xf numFmtId="3" fontId="3" fillId="0" borderId="0" xfId="1" applyNumberFormat="1" applyFont="1"/>
    <xf numFmtId="167" fontId="3" fillId="0" borderId="0" xfId="1" applyNumberFormat="1" applyFont="1"/>
    <xf numFmtId="165" fontId="3" fillId="0" borderId="0" xfId="2" applyNumberFormat="1" applyFont="1"/>
    <xf numFmtId="9" fontId="8" fillId="0" borderId="0" xfId="2" applyNumberFormat="1" applyFont="1"/>
    <xf numFmtId="9" fontId="3" fillId="0" borderId="0" xfId="2" applyNumberFormat="1" applyFont="1"/>
    <xf numFmtId="0" fontId="8" fillId="0" borderId="0" xfId="2" applyFont="1"/>
    <xf numFmtId="0" fontId="8" fillId="0" borderId="0" xfId="0" applyFont="1"/>
    <xf numFmtId="0" fontId="3" fillId="0" borderId="2" xfId="0" applyFont="1" applyBorder="1"/>
    <xf numFmtId="3" fontId="8" fillId="0" borderId="0" xfId="0" applyNumberFormat="1" applyFont="1"/>
    <xf numFmtId="168" fontId="3" fillId="0" borderId="0" xfId="2" applyNumberFormat="1" applyFont="1"/>
    <xf numFmtId="2" fontId="3" fillId="0" borderId="0" xfId="2" applyNumberFormat="1" applyFont="1"/>
    <xf numFmtId="166" fontId="3" fillId="0" borderId="0" xfId="2" applyNumberFormat="1" applyFont="1"/>
    <xf numFmtId="6" fontId="3" fillId="0" borderId="0" xfId="2" applyNumberFormat="1" applyFont="1"/>
    <xf numFmtId="0" fontId="3" fillId="0" borderId="0" xfId="2" applyFont="1" applyAlignment="1">
      <alignment horizontal="right"/>
    </xf>
    <xf numFmtId="0" fontId="3" fillId="0" borderId="0" xfId="2" applyFont="1" applyAlignment="1">
      <alignment horizontal="left"/>
    </xf>
    <xf numFmtId="1" fontId="3" fillId="0" borderId="0" xfId="2" applyNumberFormat="1" applyFont="1"/>
    <xf numFmtId="3" fontId="3" fillId="0" borderId="0" xfId="2" quotePrefix="1" applyNumberFormat="1" applyFont="1" applyAlignment="1">
      <alignment horizontal="left"/>
    </xf>
    <xf numFmtId="4" fontId="8" fillId="0" borderId="0" xfId="2" applyNumberFormat="1" applyFont="1"/>
    <xf numFmtId="4" fontId="3" fillId="0" borderId="0" xfId="2" quotePrefix="1" applyNumberFormat="1" applyFont="1" applyAlignment="1">
      <alignment horizontal="left"/>
    </xf>
    <xf numFmtId="9" fontId="8" fillId="0" borderId="0" xfId="3" applyNumberFormat="1" applyFont="1" applyAlignment="1">
      <alignment horizontal="right"/>
    </xf>
    <xf numFmtId="9" fontId="3" fillId="0" borderId="0" xfId="2" applyNumberFormat="1" applyFont="1" applyAlignment="1">
      <alignment horizontal="right"/>
    </xf>
    <xf numFmtId="3" fontId="3" fillId="0" borderId="0" xfId="2" applyNumberFormat="1" applyFont="1" applyAlignment="1">
      <alignment horizontal="right"/>
    </xf>
    <xf numFmtId="0" fontId="3" fillId="0" borderId="2" xfId="2" applyFont="1" applyBorder="1"/>
    <xf numFmtId="9" fontId="8" fillId="0" borderId="2" xfId="3" applyNumberFormat="1" applyFont="1" applyBorder="1" applyAlignment="1">
      <alignment horizontal="right"/>
    </xf>
    <xf numFmtId="3" fontId="3" fillId="0" borderId="2" xfId="2" applyNumberFormat="1" applyFont="1" applyBorder="1"/>
    <xf numFmtId="9" fontId="3" fillId="0" borderId="0" xfId="0" applyNumberFormat="1" applyFont="1"/>
    <xf numFmtId="0" fontId="3" fillId="0" borderId="1" xfId="0" applyFont="1" applyBorder="1"/>
    <xf numFmtId="0" fontId="8" fillId="0" borderId="1" xfId="0" applyFont="1" applyBorder="1"/>
    <xf numFmtId="169" fontId="3" fillId="0" borderId="2" xfId="0" applyNumberFormat="1" applyFont="1" applyBorder="1"/>
    <xf numFmtId="9" fontId="8" fillId="0" borderId="0" xfId="0" applyNumberFormat="1" applyFont="1"/>
    <xf numFmtId="9" fontId="8" fillId="0" borderId="2" xfId="2" applyNumberFormat="1" applyFont="1" applyBorder="1"/>
    <xf numFmtId="0" fontId="11" fillId="0" borderId="0" xfId="0" applyFont="1"/>
    <xf numFmtId="0" fontId="13" fillId="0" borderId="0" xfId="0" applyFont="1" applyBorder="1"/>
    <xf numFmtId="0" fontId="13" fillId="0" borderId="0" xfId="0" applyFont="1"/>
    <xf numFmtId="0" fontId="11" fillId="0" borderId="0" xfId="0" quotePrefix="1" applyFont="1"/>
    <xf numFmtId="170" fontId="11" fillId="0" borderId="0" xfId="0" applyNumberFormat="1" applyFont="1" applyBorder="1"/>
    <xf numFmtId="170" fontId="11" fillId="0" borderId="0" xfId="0" applyNumberFormat="1" applyFont="1"/>
    <xf numFmtId="0" fontId="13" fillId="0" borderId="0" xfId="2" applyFont="1"/>
    <xf numFmtId="0" fontId="11" fillId="0" borderId="0" xfId="2" applyFont="1"/>
    <xf numFmtId="3" fontId="11" fillId="0" borderId="0" xfId="0" applyNumberFormat="1" applyFont="1"/>
    <xf numFmtId="3" fontId="13" fillId="0" borderId="0" xfId="0" applyNumberFormat="1" applyFont="1"/>
    <xf numFmtId="3" fontId="12" fillId="0" borderId="0" xfId="0" applyNumberFormat="1" applyFont="1"/>
    <xf numFmtId="3" fontId="11" fillId="0" borderId="1" xfId="0" applyNumberFormat="1" applyFont="1" applyBorder="1"/>
    <xf numFmtId="3" fontId="11" fillId="0" borderId="1" xfId="0" applyNumberFormat="1" applyFont="1" applyBorder="1" applyAlignment="1">
      <alignment horizontal="center"/>
    </xf>
    <xf numFmtId="3" fontId="11" fillId="0" borderId="0" xfId="0" applyNumberFormat="1" applyFont="1" applyAlignment="1">
      <alignment horizontal="center"/>
    </xf>
    <xf numFmtId="3" fontId="11" fillId="0" borderId="3" xfId="0" applyNumberFormat="1" applyFont="1" applyBorder="1"/>
    <xf numFmtId="3" fontId="11" fillId="0" borderId="3" xfId="0" applyNumberFormat="1" applyFont="1" applyBorder="1" applyAlignment="1">
      <alignment horizontal="center"/>
    </xf>
    <xf numFmtId="4" fontId="11" fillId="0" borderId="0" xfId="0" applyNumberFormat="1" applyFont="1" applyAlignment="1">
      <alignment horizontal="center"/>
    </xf>
    <xf numFmtId="3" fontId="13" fillId="0" borderId="1" xfId="0" applyNumberFormat="1" applyFont="1" applyBorder="1" applyAlignment="1">
      <alignment horizontal="center"/>
    </xf>
    <xf numFmtId="3" fontId="11" fillId="0" borderId="2" xfId="0" applyNumberFormat="1" applyFont="1" applyBorder="1"/>
    <xf numFmtId="3" fontId="11" fillId="0" borderId="2" xfId="0" applyNumberFormat="1" applyFont="1" applyBorder="1" applyAlignment="1">
      <alignment horizontal="center"/>
    </xf>
    <xf numFmtId="0" fontId="11" fillId="0" borderId="1" xfId="0" applyFont="1" applyBorder="1"/>
    <xf numFmtId="0" fontId="13" fillId="0" borderId="1" xfId="0" applyFont="1" applyBorder="1"/>
    <xf numFmtId="0" fontId="11" fillId="0" borderId="2" xfId="0" applyFont="1" applyBorder="1"/>
    <xf numFmtId="9" fontId="11" fillId="0" borderId="2" xfId="0" applyNumberFormat="1" applyFont="1" applyBorder="1"/>
    <xf numFmtId="1" fontId="13" fillId="0" borderId="0" xfId="0" applyNumberFormat="1" applyFont="1"/>
    <xf numFmtId="1" fontId="11" fillId="0" borderId="2" xfId="0" applyNumberFormat="1" applyFont="1" applyBorder="1"/>
    <xf numFmtId="9" fontId="13" fillId="0" borderId="0" xfId="0" applyNumberFormat="1" applyFont="1"/>
    <xf numFmtId="9" fontId="11" fillId="0" borderId="0" xfId="0" applyNumberFormat="1" applyFont="1"/>
    <xf numFmtId="169" fontId="11" fillId="0" borderId="2" xfId="0" applyNumberFormat="1" applyFont="1" applyBorder="1"/>
    <xf numFmtId="0" fontId="11" fillId="0" borderId="0" xfId="0" applyFont="1" applyBorder="1"/>
    <xf numFmtId="0" fontId="11" fillId="0" borderId="1" xfId="0" applyFont="1" applyBorder="1" applyAlignment="1">
      <alignment horizontal="right"/>
    </xf>
    <xf numFmtId="9" fontId="11" fillId="0" borderId="0" xfId="4" applyFont="1"/>
    <xf numFmtId="0" fontId="15" fillId="0" borderId="0" xfId="0" applyFont="1"/>
    <xf numFmtId="0" fontId="16" fillId="0" borderId="0" xfId="2" applyFont="1"/>
    <xf numFmtId="0" fontId="11" fillId="0" borderId="1" xfId="2" applyFont="1" applyBorder="1"/>
    <xf numFmtId="0" fontId="13" fillId="0" borderId="1" xfId="2" applyFont="1" applyBorder="1"/>
    <xf numFmtId="0" fontId="11" fillId="0" borderId="1" xfId="2" applyFont="1" applyBorder="1" applyAlignment="1">
      <alignment horizontal="right"/>
    </xf>
    <xf numFmtId="0" fontId="11" fillId="0" borderId="0" xfId="2" quotePrefix="1" applyFont="1" applyAlignment="1">
      <alignment horizontal="left"/>
    </xf>
    <xf numFmtId="3" fontId="13" fillId="0" borderId="0" xfId="2" applyNumberFormat="1" applyFont="1"/>
    <xf numFmtId="9" fontId="11" fillId="0" borderId="0" xfId="4" applyNumberFormat="1" applyFont="1"/>
    <xf numFmtId="0" fontId="13" fillId="0" borderId="0" xfId="2" applyFont="1" applyAlignment="1">
      <alignment horizontal="left"/>
    </xf>
    <xf numFmtId="9" fontId="11" fillId="0" borderId="1" xfId="3" applyFont="1" applyBorder="1"/>
    <xf numFmtId="9" fontId="13" fillId="0" borderId="1" xfId="3" applyFont="1" applyBorder="1"/>
    <xf numFmtId="9" fontId="11" fillId="0" borderId="1" xfId="2" applyNumberFormat="1" applyFont="1" applyBorder="1"/>
    <xf numFmtId="0" fontId="11" fillId="0" borderId="4" xfId="2" quotePrefix="1" applyFont="1" applyBorder="1" applyAlignment="1">
      <alignment horizontal="left"/>
    </xf>
    <xf numFmtId="3" fontId="11" fillId="0" borderId="4" xfId="1" applyNumberFormat="1" applyFont="1" applyBorder="1"/>
    <xf numFmtId="3" fontId="11" fillId="0" borderId="0" xfId="0" applyNumberFormat="1" applyFont="1" applyAlignment="1">
      <alignment horizontal="center"/>
    </xf>
    <xf numFmtId="0" fontId="3" fillId="0" borderId="0" xfId="2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2" applyFont="1" applyAlignment="1">
      <alignment horizontal="center"/>
    </xf>
    <xf numFmtId="0" fontId="11" fillId="0" borderId="0" xfId="2" applyFont="1" applyAlignment="1">
      <alignment horizontal="center"/>
    </xf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4000000}"/>
    <cellStyle name="Pros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903-429B-82AB-47D93821B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627008"/>
        <c:axId val="1"/>
      </c:lineChart>
      <c:catAx>
        <c:axId val="233627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23362700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 6.1'!$C$1</c:f>
          <c:strCache>
            <c:ptCount val="1"/>
          </c:strCache>
        </c:strRef>
      </c:tx>
      <c:overlay val="1"/>
    </c:title>
    <c:autoTitleDeleted val="0"/>
    <c:plotArea>
      <c:layout>
        <c:manualLayout>
          <c:layoutTarget val="inner"/>
          <c:xMode val="edge"/>
          <c:yMode val="edge"/>
          <c:x val="0.10221642002032394"/>
          <c:y val="4.5492736054222216E-2"/>
          <c:w val="0.67043874731235786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'Figur 6.1'!$A$10</c:f>
              <c:strCache>
                <c:ptCount val="1"/>
                <c:pt idx="0">
                  <c:v>Janus</c:v>
                </c:pt>
              </c:strCache>
            </c:strRef>
          </c:tx>
          <c:marker>
            <c:symbol val="none"/>
          </c:marker>
          <c:cat>
            <c:numRef>
              <c:f>'Figur 6.1'!$A$24:$G$24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'Figur 6.1'!$B$10:$H$10</c:f>
              <c:numCache>
                <c:formatCode>#,##0</c:formatCode>
                <c:ptCount val="7"/>
                <c:pt idx="0">
                  <c:v>650.15802006926299</c:v>
                </c:pt>
                <c:pt idx="1">
                  <c:v>490.42107045417077</c:v>
                </c:pt>
                <c:pt idx="2">
                  <c:v>350.8096364283989</c:v>
                </c:pt>
                <c:pt idx="3">
                  <c:v>228.1617022779449</c:v>
                </c:pt>
                <c:pt idx="4">
                  <c:v>119.8950147759608</c:v>
                </c:pt>
                <c:pt idx="5">
                  <c:v>23.887253680983317</c:v>
                </c:pt>
                <c:pt idx="6">
                  <c:v>-61.61647642460089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7A-4928-BBC2-870628417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406792"/>
        <c:axId val="1"/>
      </c:lineChart>
      <c:catAx>
        <c:axId val="231406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3913887270115334"/>
              <c:y val="0.8905365400753476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(tusen kroner)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23140679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00610997963339"/>
          <c:y val="9.4545454545454544E-2"/>
          <c:w val="0.78411405295315684"/>
          <c:h val="0.72727272727272729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6.2'!$B$4:$F$4</c:f>
              <c:numCache>
                <c:formatCode>General</c:formatCode>
                <c:ptCount val="5"/>
                <c:pt idx="0">
                  <c:v>160</c:v>
                </c:pt>
                <c:pt idx="1">
                  <c:v>180</c:v>
                </c:pt>
                <c:pt idx="2">
                  <c:v>200</c:v>
                </c:pt>
                <c:pt idx="3">
                  <c:v>220</c:v>
                </c:pt>
                <c:pt idx="4">
                  <c:v>240</c:v>
                </c:pt>
              </c:numCache>
            </c:numRef>
          </c:cat>
          <c:val>
            <c:numRef>
              <c:f>'Figur 6.2'!$B$6:$F$6</c:f>
              <c:numCache>
                <c:formatCode>0</c:formatCode>
                <c:ptCount val="5"/>
                <c:pt idx="0">
                  <c:v>-425.65270630498446</c:v>
                </c:pt>
                <c:pt idx="1">
                  <c:v>32.318012414468512</c:v>
                </c:pt>
                <c:pt idx="2">
                  <c:v>490.2887311339216</c:v>
                </c:pt>
                <c:pt idx="3">
                  <c:v>948.25944985337446</c:v>
                </c:pt>
                <c:pt idx="4" formatCode="#,##0">
                  <c:v>1406.2301685728276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6A-4E1D-9061-E0379CE87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653352"/>
        <c:axId val="1"/>
      </c:lineChart>
      <c:catAx>
        <c:axId val="233653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Pris (kroner/enhet)</a:t>
                </a:r>
              </a:p>
            </c:rich>
          </c:tx>
          <c:layout>
            <c:manualLayout>
              <c:xMode val="edge"/>
              <c:yMode val="edge"/>
              <c:x val="0.42973518388022514"/>
              <c:y val="0.861818010158802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578428669181E-2"/>
              <c:y val="0.276363602031760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23365335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859657248726262"/>
          <c:y val="0.12367506561679791"/>
          <c:w val="0.73422486404885667"/>
          <c:h val="0.7893165354330709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'Figur 6.3'!$B$4:$F$4</c:f>
              <c:numCache>
                <c:formatCode>General</c:formatCode>
                <c:ptCount val="5"/>
                <c:pt idx="0">
                  <c:v>160</c:v>
                </c:pt>
                <c:pt idx="1">
                  <c:v>180</c:v>
                </c:pt>
                <c:pt idx="2">
                  <c:v>200</c:v>
                </c:pt>
                <c:pt idx="3">
                  <c:v>220</c:v>
                </c:pt>
                <c:pt idx="4">
                  <c:v>240</c:v>
                </c:pt>
              </c:numCache>
            </c:numRef>
          </c:cat>
          <c:val>
            <c:numRef>
              <c:f>'Figur 6.3'!$B$6:$F$6</c:f>
              <c:numCache>
                <c:formatCode>0%</c:formatCode>
                <c:ptCount val="5"/>
                <c:pt idx="0">
                  <c:v>-0.10037792351994493</c:v>
                </c:pt>
                <c:pt idx="1">
                  <c:v>3.9005620227034375E-2</c:v>
                </c:pt>
                <c:pt idx="2">
                  <c:v>0.15802006926301718</c:v>
                </c:pt>
                <c:pt idx="3">
                  <c:v>0.2658570040678398</c:v>
                </c:pt>
                <c:pt idx="4">
                  <c:v>0.3666863729364323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D5-43E5-A192-2EB0A8B01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658272"/>
        <c:axId val="1"/>
      </c:lineChart>
      <c:catAx>
        <c:axId val="233658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Pris (kroner/enhet)</a:t>
                </a:r>
              </a:p>
            </c:rich>
          </c:tx>
          <c:layout>
            <c:manualLayout>
              <c:xMode val="edge"/>
              <c:yMode val="edge"/>
              <c:x val="0.45062209027150296"/>
              <c:y val="0.7783609037342954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Internrente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23365827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17703618003526"/>
          <c:y val="0.17231860130386928"/>
          <c:w val="0.74814876385815543"/>
          <c:h val="0.68762086190839045"/>
        </c:manualLayout>
      </c:layout>
      <c:lineChart>
        <c:grouping val="standard"/>
        <c:varyColors val="0"/>
        <c:ser>
          <c:idx val="0"/>
          <c:order val="0"/>
          <c:tx>
            <c:strRef>
              <c:f>'Figur 6.4'!$A$8</c:f>
              <c:strCache>
                <c:ptCount val="1"/>
                <c:pt idx="0">
                  <c:v>Endring fra basis</c:v>
                </c:pt>
              </c:strCache>
            </c:strRef>
          </c:tx>
          <c:marker>
            <c:symbol val="none"/>
          </c:marker>
          <c:cat>
            <c:numRef>
              <c:f>'Figur 6.4'!$B$34:$F$34</c:f>
              <c:numCache>
                <c:formatCode>General</c:formatCode>
                <c:ptCount val="5"/>
                <c:pt idx="0">
                  <c:v>-20</c:v>
                </c:pt>
                <c:pt idx="1">
                  <c:v>-10</c:v>
                </c:pt>
                <c:pt idx="2">
                  <c:v>0</c:v>
                </c:pt>
                <c:pt idx="3">
                  <c:v>10</c:v>
                </c:pt>
                <c:pt idx="4">
                  <c:v>20</c:v>
                </c:pt>
              </c:numCache>
            </c:numRef>
          </c:cat>
          <c:val>
            <c:numRef>
              <c:f>'Figur 6.4'!$B$10:$F$10</c:f>
              <c:numCache>
                <c:formatCode>#\ ##0_ ;\-#\ ##0\ </c:formatCode>
                <c:ptCount val="5"/>
                <c:pt idx="0">
                  <c:v>-425.65270630498446</c:v>
                </c:pt>
                <c:pt idx="1">
                  <c:v>32.318012414468512</c:v>
                </c:pt>
                <c:pt idx="2">
                  <c:v>490.2887311339216</c:v>
                </c:pt>
                <c:pt idx="3">
                  <c:v>948.25944985337446</c:v>
                </c:pt>
                <c:pt idx="4">
                  <c:v>1406.2301685728276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45-4498-8BA3-1B7C7A2B8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657616"/>
        <c:axId val="1"/>
      </c:lineChart>
      <c:catAx>
        <c:axId val="233657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Prisendring fra basis  (%)</a:t>
                </a:r>
              </a:p>
            </c:rich>
          </c:tx>
          <c:layout>
            <c:manualLayout>
              <c:xMode val="edge"/>
              <c:yMode val="edge"/>
              <c:x val="0.61914041994750657"/>
              <c:y val="0.6610147877856731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Nåverdi (tusen kr.)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3365761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45570041011134"/>
          <c:y val="6.7024216425383851E-2"/>
          <c:w val="0.56103414996458234"/>
          <c:h val="0.86863384487297468"/>
        </c:manualLayout>
      </c:layout>
      <c:lineChart>
        <c:grouping val="standard"/>
        <c:varyColors val="0"/>
        <c:ser>
          <c:idx val="0"/>
          <c:order val="0"/>
          <c:tx>
            <c:strRef>
              <c:f>'Figur 6.5'!$E$3</c:f>
              <c:strCache>
                <c:ptCount val="1"/>
                <c:pt idx="0">
                  <c:v>Pris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6.5'!$D$4:$D$8</c:f>
              <c:numCache>
                <c:formatCode>0%</c:formatCode>
                <c:ptCount val="5"/>
                <c:pt idx="0">
                  <c:v>-0.4</c:v>
                </c:pt>
                <c:pt idx="1">
                  <c:v>-0.19999999999999996</c:v>
                </c:pt>
                <c:pt idx="2">
                  <c:v>0</c:v>
                </c:pt>
                <c:pt idx="3">
                  <c:v>0.19999999999999996</c:v>
                </c:pt>
                <c:pt idx="4">
                  <c:v>0.39999999999999991</c:v>
                </c:pt>
              </c:numCache>
            </c:numRef>
          </c:cat>
          <c:val>
            <c:numRef>
              <c:f>'Figur 6.5'!$E$4:$E$8</c:f>
              <c:numCache>
                <c:formatCode>#,##0</c:formatCode>
                <c:ptCount val="5"/>
                <c:pt idx="0">
                  <c:v>-1341.5941437438905</c:v>
                </c:pt>
                <c:pt idx="1">
                  <c:v>-425.65270630498446</c:v>
                </c:pt>
                <c:pt idx="2">
                  <c:v>490.2887311339216</c:v>
                </c:pt>
                <c:pt idx="3">
                  <c:v>1406.2301685728276</c:v>
                </c:pt>
                <c:pt idx="4">
                  <c:v>2322.1716060117337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EC-4878-A944-4ED236A38D5F}"/>
            </c:ext>
          </c:extLst>
        </c:ser>
        <c:ser>
          <c:idx val="1"/>
          <c:order val="1"/>
          <c:tx>
            <c:strRef>
              <c:f>'Figur 6.5'!$G$3</c:f>
              <c:strCache>
                <c:ptCount val="1"/>
                <c:pt idx="0">
                  <c:v>Volum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'Figur 6.5'!$G$4:$G$8</c:f>
              <c:numCache>
                <c:formatCode>#,##0</c:formatCode>
                <c:ptCount val="5"/>
                <c:pt idx="0">
                  <c:v>-425.65270630498446</c:v>
                </c:pt>
                <c:pt idx="1">
                  <c:v>32.318012414468512</c:v>
                </c:pt>
                <c:pt idx="2">
                  <c:v>490.2887311339216</c:v>
                </c:pt>
                <c:pt idx="3">
                  <c:v>948.25944985337446</c:v>
                </c:pt>
                <c:pt idx="4">
                  <c:v>1406.2301685728276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EC-4878-A944-4ED236A38D5F}"/>
            </c:ext>
          </c:extLst>
        </c:ser>
        <c:ser>
          <c:idx val="2"/>
          <c:order val="2"/>
          <c:tx>
            <c:strRef>
              <c:f>'Figur 6.5'!$I$3</c:f>
              <c:strCache>
                <c:ptCount val="1"/>
                <c:pt idx="0">
                  <c:v>Levetid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val>
            <c:numRef>
              <c:f>'Figur 6.5'!$I$4:$I$8</c:f>
              <c:numCache>
                <c:formatCode>#,##0</c:formatCode>
                <c:ptCount val="5"/>
                <c:pt idx="0">
                  <c:v>-175.12768514002119</c:v>
                </c:pt>
                <c:pt idx="1">
                  <c:v>162.49739306793981</c:v>
                </c:pt>
                <c:pt idx="2">
                  <c:v>490.2887311339216</c:v>
                </c:pt>
                <c:pt idx="3">
                  <c:v>808.53274867371101</c:v>
                </c:pt>
                <c:pt idx="4">
                  <c:v>1117.5075229841855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EC-4878-A944-4ED236A38D5F}"/>
            </c:ext>
          </c:extLst>
        </c:ser>
        <c:ser>
          <c:idx val="3"/>
          <c:order val="3"/>
          <c:tx>
            <c:strRef>
              <c:f>'Figur 6.5'!$H$3</c:f>
              <c:strCache>
                <c:ptCount val="1"/>
                <c:pt idx="0">
                  <c:v>FK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'Figur 6.5'!$H$4:$H$8</c:f>
              <c:numCache>
                <c:formatCode>#,##0</c:formatCode>
                <c:ptCount val="5"/>
                <c:pt idx="0">
                  <c:v>710.114676119259</c:v>
                </c:pt>
                <c:pt idx="1">
                  <c:v>600.20170362659019</c:v>
                </c:pt>
                <c:pt idx="2">
                  <c:v>490.2887311339216</c:v>
                </c:pt>
                <c:pt idx="3">
                  <c:v>380.37575864125279</c:v>
                </c:pt>
                <c:pt idx="4">
                  <c:v>270.4627861485842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EC-4878-A944-4ED236A38D5F}"/>
            </c:ext>
          </c:extLst>
        </c:ser>
        <c:ser>
          <c:idx val="4"/>
          <c:order val="4"/>
          <c:tx>
            <c:strRef>
              <c:f>'Figur 6.5'!$F$3</c:f>
              <c:strCache>
                <c:ptCount val="1"/>
                <c:pt idx="0">
                  <c:v>VEK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val>
            <c:numRef>
              <c:f>'Figur 6.5'!$F$4:$F$8</c:f>
              <c:numCache>
                <c:formatCode>#,##0</c:formatCode>
                <c:ptCount val="5"/>
                <c:pt idx="0">
                  <c:v>1406.2301685728276</c:v>
                </c:pt>
                <c:pt idx="1">
                  <c:v>948.25944985337446</c:v>
                </c:pt>
                <c:pt idx="2">
                  <c:v>490.2887311339216</c:v>
                </c:pt>
                <c:pt idx="3">
                  <c:v>32.318012414468512</c:v>
                </c:pt>
                <c:pt idx="4">
                  <c:v>-425.65270630498446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2EC-4878-A944-4ED236A38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652696"/>
        <c:axId val="1"/>
      </c:lineChart>
      <c:catAx>
        <c:axId val="233652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Endring fra basis (%)</a:t>
                </a:r>
              </a:p>
            </c:rich>
          </c:tx>
          <c:layout>
            <c:manualLayout>
              <c:xMode val="edge"/>
              <c:yMode val="edge"/>
              <c:x val="0.31412544794129837"/>
              <c:y val="0.67246215283261512"/>
            </c:manualLayout>
          </c:layout>
          <c:overlay val="0"/>
        </c:title>
        <c:numFmt formatCode="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Nåverdi ( tusen kroner)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233652696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897868597362999"/>
          <c:y val="0.36876355748373102"/>
          <c:w val="0.15328478079720345"/>
          <c:h val="0.2537960954446854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'Figur 6.6'!$B$4:$D$4</c:f>
              <c:numCache>
                <c:formatCode>#\ ##0.0_ ;[Red]\-#\ ##0.0\ </c:formatCode>
                <c:ptCount val="3"/>
                <c:pt idx="0">
                  <c:v>5.0756920672674468</c:v>
                </c:pt>
                <c:pt idx="1">
                  <c:v>8.8632516364488101</c:v>
                </c:pt>
                <c:pt idx="2">
                  <c:v>12.00771111736633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2-4BD3-9C0D-1BDADAE37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624056"/>
        <c:axId val="1"/>
      </c:lineChart>
      <c:catAx>
        <c:axId val="23362405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 b="0"/>
                  <a:t>Planperiode (År)</a:t>
                </a:r>
              </a:p>
            </c:rich>
          </c:tx>
          <c:layout>
            <c:manualLayout>
              <c:xMode val="edge"/>
              <c:yMode val="edge"/>
              <c:x val="0.47178790151231087"/>
              <c:y val="0.8890945291568002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Investering/Husleie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;[Red]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233624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2</xdr:row>
      <xdr:rowOff>0</xdr:rowOff>
    </xdr:from>
    <xdr:to>
      <xdr:col>9</xdr:col>
      <xdr:colOff>190500</xdr:colOff>
      <xdr:row>2</xdr:row>
      <xdr:rowOff>0</xdr:rowOff>
    </xdr:to>
    <xdr:graphicFrame macro="">
      <xdr:nvGraphicFramePr>
        <xdr:cNvPr id="10300" name="Chart 2">
          <a:extLst>
            <a:ext uri="{FF2B5EF4-FFF2-40B4-BE49-F238E27FC236}">
              <a16:creationId xmlns:a16="http://schemas.microsoft.com/office/drawing/2014/main" id="{00000000-0008-0000-0000-00003C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12</xdr:row>
      <xdr:rowOff>95250</xdr:rowOff>
    </xdr:from>
    <xdr:to>
      <xdr:col>8</xdr:col>
      <xdr:colOff>666750</xdr:colOff>
      <xdr:row>38</xdr:row>
      <xdr:rowOff>85725</xdr:rowOff>
    </xdr:to>
    <xdr:graphicFrame macro="">
      <xdr:nvGraphicFramePr>
        <xdr:cNvPr id="44126" name="Chart 2">
          <a:extLst>
            <a:ext uri="{FF2B5EF4-FFF2-40B4-BE49-F238E27FC236}">
              <a16:creationId xmlns:a16="http://schemas.microsoft.com/office/drawing/2014/main" id="{00000000-0008-0000-0400-00005EA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8</xdr:row>
      <xdr:rowOff>95250</xdr:rowOff>
    </xdr:from>
    <xdr:to>
      <xdr:col>7</xdr:col>
      <xdr:colOff>114300</xdr:colOff>
      <xdr:row>24</xdr:row>
      <xdr:rowOff>123825</xdr:rowOff>
    </xdr:to>
    <xdr:graphicFrame macro="">
      <xdr:nvGraphicFramePr>
        <xdr:cNvPr id="12346" name="Chart 2">
          <a:extLst>
            <a:ext uri="{FF2B5EF4-FFF2-40B4-BE49-F238E27FC236}">
              <a16:creationId xmlns:a16="http://schemas.microsoft.com/office/drawing/2014/main" id="{00000000-0008-0000-0500-00003A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7</xdr:row>
      <xdr:rowOff>38100</xdr:rowOff>
    </xdr:from>
    <xdr:to>
      <xdr:col>6</xdr:col>
      <xdr:colOff>19050</xdr:colOff>
      <xdr:row>26</xdr:row>
      <xdr:rowOff>95250</xdr:rowOff>
    </xdr:to>
    <xdr:graphicFrame macro="">
      <xdr:nvGraphicFramePr>
        <xdr:cNvPr id="96303" name="Chart 1">
          <a:extLst>
            <a:ext uri="{FF2B5EF4-FFF2-40B4-BE49-F238E27FC236}">
              <a16:creationId xmlns:a16="http://schemas.microsoft.com/office/drawing/2014/main" id="{00000000-0008-0000-0600-00002F7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10</xdr:row>
      <xdr:rowOff>152400</xdr:rowOff>
    </xdr:from>
    <xdr:to>
      <xdr:col>6</xdr:col>
      <xdr:colOff>0</xdr:colOff>
      <xdr:row>34</xdr:row>
      <xdr:rowOff>123825</xdr:rowOff>
    </xdr:to>
    <xdr:graphicFrame macro="">
      <xdr:nvGraphicFramePr>
        <xdr:cNvPr id="125997" name="Chart 1">
          <a:extLst>
            <a:ext uri="{FF2B5EF4-FFF2-40B4-BE49-F238E27FC236}">
              <a16:creationId xmlns:a16="http://schemas.microsoft.com/office/drawing/2014/main" id="{00000000-0008-0000-0700-00002DEC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14</xdr:row>
      <xdr:rowOff>19050</xdr:rowOff>
    </xdr:from>
    <xdr:to>
      <xdr:col>7</xdr:col>
      <xdr:colOff>200025</xdr:colOff>
      <xdr:row>41</xdr:row>
      <xdr:rowOff>38100</xdr:rowOff>
    </xdr:to>
    <xdr:graphicFrame macro="">
      <xdr:nvGraphicFramePr>
        <xdr:cNvPr id="14393" name="Chart 1">
          <a:extLst>
            <a:ext uri="{FF2B5EF4-FFF2-40B4-BE49-F238E27FC236}">
              <a16:creationId xmlns:a16="http://schemas.microsoft.com/office/drawing/2014/main" id="{00000000-0008-0000-0800-000039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647700</xdr:colOff>
      <xdr:row>2</xdr:row>
      <xdr:rowOff>76200</xdr:rowOff>
    </xdr:from>
    <xdr:to>
      <xdr:col>10</xdr:col>
      <xdr:colOff>647700</xdr:colOff>
      <xdr:row>19</xdr:row>
      <xdr:rowOff>66675</xdr:rowOff>
    </xdr:to>
    <xdr:graphicFrame macro="">
      <xdr:nvGraphicFramePr>
        <xdr:cNvPr id="387075" name="Diagram 3">
          <a:extLst>
            <a:ext uri="{FF2B5EF4-FFF2-40B4-BE49-F238E27FC236}">
              <a16:creationId xmlns:a16="http://schemas.microsoft.com/office/drawing/2014/main" id="{00000000-0008-0000-0900-000003E8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zoomScaleNormal="100" workbookViewId="0"/>
  </sheetViews>
  <sheetFormatPr baseColWidth="10" defaultColWidth="9.140625" defaultRowHeight="12.75" outlineLevelRow="1" x14ac:dyDescent="0.2"/>
  <cols>
    <col min="1" max="1" width="30.140625" style="2" customWidth="1"/>
    <col min="2" max="2" width="8.85546875" style="2" customWidth="1"/>
    <col min="3" max="3" width="10.28515625" style="2" customWidth="1"/>
    <col min="4" max="256" width="11.42578125" style="2" customWidth="1"/>
    <col min="257" max="16384" width="9.140625" style="2"/>
  </cols>
  <sheetData>
    <row r="1" spans="1:9" ht="15" x14ac:dyDescent="0.25">
      <c r="A1" s="46" t="s">
        <v>31</v>
      </c>
      <c r="B1" s="47"/>
      <c r="C1" s="47"/>
      <c r="D1" s="47"/>
      <c r="E1" s="47"/>
      <c r="F1" s="47"/>
      <c r="G1" s="47"/>
      <c r="H1" s="47"/>
      <c r="I1" s="47"/>
    </row>
    <row r="2" spans="1:9" ht="15" x14ac:dyDescent="0.25">
      <c r="A2" s="45"/>
      <c r="B2" s="47"/>
      <c r="C2" s="47"/>
      <c r="D2" s="47"/>
      <c r="E2" s="47"/>
      <c r="F2" s="47"/>
      <c r="G2" s="47"/>
      <c r="H2" s="47"/>
      <c r="I2" s="47"/>
    </row>
    <row r="3" spans="1:9" ht="15" outlineLevel="1" x14ac:dyDescent="0.25">
      <c r="A3" s="39" t="s">
        <v>5</v>
      </c>
      <c r="B3" s="41">
        <v>200</v>
      </c>
      <c r="C3" s="47"/>
      <c r="D3" s="47"/>
      <c r="E3" s="47"/>
      <c r="F3" s="47"/>
      <c r="G3" s="47"/>
      <c r="H3" s="47"/>
      <c r="I3" s="47"/>
    </row>
    <row r="4" spans="1:9" ht="15" outlineLevel="1" x14ac:dyDescent="0.25">
      <c r="A4" s="39" t="s">
        <v>6</v>
      </c>
      <c r="B4" s="41">
        <v>100</v>
      </c>
      <c r="C4" s="47"/>
      <c r="D4" s="47"/>
      <c r="E4" s="47"/>
      <c r="F4" s="47"/>
      <c r="G4" s="47"/>
      <c r="H4" s="47"/>
      <c r="I4" s="47"/>
    </row>
    <row r="5" spans="1:9" ht="15" outlineLevel="1" x14ac:dyDescent="0.25">
      <c r="A5" s="39" t="s">
        <v>14</v>
      </c>
      <c r="B5" s="48">
        <v>120</v>
      </c>
      <c r="C5" s="47"/>
      <c r="D5" s="47"/>
      <c r="E5" s="47"/>
      <c r="F5" s="47"/>
      <c r="G5" s="47"/>
      <c r="H5" s="47"/>
      <c r="I5" s="47"/>
    </row>
    <row r="6" spans="1:9" ht="15" outlineLevel="1" x14ac:dyDescent="0.25">
      <c r="A6" s="39" t="s">
        <v>12</v>
      </c>
      <c r="B6" s="48">
        <v>5</v>
      </c>
      <c r="C6" s="47"/>
      <c r="D6" s="47"/>
      <c r="E6" s="47"/>
      <c r="F6" s="47"/>
      <c r="G6" s="47"/>
      <c r="H6" s="47"/>
      <c r="I6" s="47"/>
    </row>
    <row r="7" spans="1:9" ht="15" outlineLevel="1" x14ac:dyDescent="0.25">
      <c r="A7" s="39" t="s">
        <v>13</v>
      </c>
      <c r="B7" s="48">
        <v>1250</v>
      </c>
      <c r="C7" s="47"/>
      <c r="D7" s="47"/>
      <c r="E7" s="47"/>
      <c r="F7" s="47"/>
      <c r="G7" s="47"/>
      <c r="H7" s="47"/>
      <c r="I7" s="47"/>
    </row>
    <row r="8" spans="1:9" ht="15" outlineLevel="1" x14ac:dyDescent="0.25">
      <c r="A8" s="39" t="s">
        <v>7</v>
      </c>
      <c r="B8" s="41">
        <v>5</v>
      </c>
      <c r="C8" s="47"/>
      <c r="D8" s="47"/>
      <c r="E8" s="47"/>
      <c r="F8" s="47"/>
      <c r="G8" s="47"/>
      <c r="H8" s="47"/>
      <c r="I8" s="47" t="s">
        <v>0</v>
      </c>
    </row>
    <row r="9" spans="1:9" ht="15" outlineLevel="1" x14ac:dyDescent="0.25">
      <c r="A9" s="39" t="s">
        <v>8</v>
      </c>
      <c r="B9" s="41">
        <v>0.03</v>
      </c>
      <c r="C9" s="47"/>
      <c r="D9" s="47"/>
      <c r="E9" s="47"/>
      <c r="F9" s="47"/>
      <c r="G9" s="47"/>
      <c r="H9" s="47"/>
      <c r="I9" s="47"/>
    </row>
    <row r="10" spans="1:9" ht="15" outlineLevel="1" x14ac:dyDescent="0.25">
      <c r="A10" s="39"/>
      <c r="B10" s="41"/>
      <c r="C10" s="47"/>
      <c r="D10" s="47"/>
      <c r="E10" s="47"/>
      <c r="F10" s="47"/>
      <c r="G10" s="47"/>
      <c r="H10" s="47"/>
      <c r="I10" s="47"/>
    </row>
    <row r="11" spans="1:9" ht="15" outlineLevel="1" x14ac:dyDescent="0.25">
      <c r="A11" s="49" t="s">
        <v>15</v>
      </c>
      <c r="B11" s="47"/>
      <c r="C11" s="47"/>
      <c r="D11" s="47"/>
      <c r="E11" s="47"/>
      <c r="F11" s="47"/>
      <c r="G11" s="47"/>
      <c r="H11" s="47"/>
      <c r="I11" s="47"/>
    </row>
    <row r="12" spans="1:9" ht="15" outlineLevel="1" x14ac:dyDescent="0.25">
      <c r="A12" s="50" t="s">
        <v>55</v>
      </c>
      <c r="B12" s="51">
        <v>0</v>
      </c>
      <c r="C12" s="51">
        <v>1</v>
      </c>
      <c r="D12" s="51">
        <v>2</v>
      </c>
      <c r="E12" s="51">
        <v>3</v>
      </c>
      <c r="F12" s="51">
        <v>4</v>
      </c>
      <c r="G12" s="51">
        <v>5</v>
      </c>
      <c r="H12" s="47"/>
      <c r="I12" s="47"/>
    </row>
    <row r="13" spans="1:9" ht="15" outlineLevel="1" x14ac:dyDescent="0.25">
      <c r="A13" s="47" t="s">
        <v>9</v>
      </c>
      <c r="B13" s="52"/>
      <c r="C13" s="52">
        <f>B3*B6</f>
        <v>1000</v>
      </c>
      <c r="D13" s="52">
        <f t="shared" ref="D13:G14" si="0">C13</f>
        <v>1000</v>
      </c>
      <c r="E13" s="52">
        <f t="shared" si="0"/>
        <v>1000</v>
      </c>
      <c r="F13" s="52">
        <f t="shared" si="0"/>
        <v>1000</v>
      </c>
      <c r="G13" s="52">
        <f t="shared" si="0"/>
        <v>1000</v>
      </c>
      <c r="H13" s="47"/>
      <c r="I13" s="47"/>
    </row>
    <row r="14" spans="1:9" ht="15" outlineLevel="1" x14ac:dyDescent="0.25">
      <c r="A14" s="50" t="s">
        <v>10</v>
      </c>
      <c r="B14" s="51"/>
      <c r="C14" s="51">
        <f>-B4*B6</f>
        <v>-500</v>
      </c>
      <c r="D14" s="51">
        <f t="shared" si="0"/>
        <v>-500</v>
      </c>
      <c r="E14" s="51">
        <f t="shared" si="0"/>
        <v>-500</v>
      </c>
      <c r="F14" s="51">
        <f t="shared" si="0"/>
        <v>-500</v>
      </c>
      <c r="G14" s="51">
        <f t="shared" si="0"/>
        <v>-500</v>
      </c>
      <c r="H14" s="47"/>
      <c r="I14" s="47"/>
    </row>
    <row r="15" spans="1:9" ht="15" outlineLevel="1" x14ac:dyDescent="0.25">
      <c r="A15" s="47" t="s">
        <v>46</v>
      </c>
      <c r="B15" s="52"/>
      <c r="C15" s="52">
        <f>C13+C14</f>
        <v>500</v>
      </c>
      <c r="D15" s="52">
        <f>D13+D14</f>
        <v>500</v>
      </c>
      <c r="E15" s="52">
        <f>E13+E14</f>
        <v>500</v>
      </c>
      <c r="F15" s="52">
        <f>F13+F14</f>
        <v>500</v>
      </c>
      <c r="G15" s="52">
        <f>G13+G14</f>
        <v>500</v>
      </c>
      <c r="H15" s="47"/>
      <c r="I15" s="47"/>
    </row>
    <row r="16" spans="1:9" ht="15" outlineLevel="1" x14ac:dyDescent="0.25">
      <c r="A16" s="47" t="s">
        <v>11</v>
      </c>
      <c r="B16" s="52"/>
      <c r="C16" s="52">
        <f>-B5</f>
        <v>-120</v>
      </c>
      <c r="D16" s="52">
        <f>C16</f>
        <v>-120</v>
      </c>
      <c r="E16" s="52">
        <f>D16</f>
        <v>-120</v>
      </c>
      <c r="F16" s="52">
        <f>E16</f>
        <v>-120</v>
      </c>
      <c r="G16" s="52">
        <f>F16</f>
        <v>-120</v>
      </c>
      <c r="H16" s="47"/>
      <c r="I16" s="47"/>
    </row>
    <row r="17" spans="1:11" ht="15" outlineLevel="1" x14ac:dyDescent="0.25">
      <c r="A17" s="50" t="s">
        <v>4</v>
      </c>
      <c r="B17" s="51">
        <f>-B7</f>
        <v>-1250</v>
      </c>
      <c r="C17" s="51"/>
      <c r="D17" s="51"/>
      <c r="E17" s="51"/>
      <c r="F17" s="51"/>
      <c r="G17" s="51"/>
      <c r="H17" s="47"/>
      <c r="I17" s="47"/>
    </row>
    <row r="18" spans="1:11" ht="15" outlineLevel="1" x14ac:dyDescent="0.25">
      <c r="A18" s="53" t="s">
        <v>2</v>
      </c>
      <c r="B18" s="54">
        <f t="shared" ref="B18:G18" si="1">B15+B16+B17</f>
        <v>-1250</v>
      </c>
      <c r="C18" s="54">
        <f t="shared" si="1"/>
        <v>380</v>
      </c>
      <c r="D18" s="54">
        <f t="shared" si="1"/>
        <v>380</v>
      </c>
      <c r="E18" s="54">
        <f t="shared" si="1"/>
        <v>380</v>
      </c>
      <c r="F18" s="54">
        <f t="shared" si="1"/>
        <v>380</v>
      </c>
      <c r="G18" s="54">
        <f t="shared" si="1"/>
        <v>380</v>
      </c>
      <c r="H18" s="47"/>
      <c r="I18" s="47"/>
    </row>
    <row r="19" spans="1:11" ht="15" outlineLevel="1" x14ac:dyDescent="0.25">
      <c r="A19" s="47"/>
      <c r="B19" s="52"/>
      <c r="C19" s="52"/>
      <c r="D19" s="52"/>
      <c r="E19" s="52"/>
      <c r="F19" s="52" t="s">
        <v>0</v>
      </c>
      <c r="G19" s="52"/>
      <c r="H19" s="47"/>
      <c r="I19" s="47"/>
    </row>
    <row r="20" spans="1:11" ht="15" outlineLevel="1" x14ac:dyDescent="0.25">
      <c r="A20" s="47" t="s">
        <v>1</v>
      </c>
      <c r="B20" s="52">
        <f>B18+NPV(B9,C18:G18)</f>
        <v>490.28873113392274</v>
      </c>
      <c r="C20" s="52"/>
      <c r="D20" s="52"/>
      <c r="E20" s="52"/>
      <c r="F20" s="52"/>
      <c r="G20" s="52"/>
      <c r="H20" s="47"/>
      <c r="I20" s="47"/>
    </row>
    <row r="21" spans="1:11" ht="15" outlineLevel="1" x14ac:dyDescent="0.25">
      <c r="A21" s="47" t="s">
        <v>3</v>
      </c>
      <c r="B21" s="55">
        <f>IRR(B18:G18)</f>
        <v>0.15802006926301737</v>
      </c>
      <c r="C21" s="52"/>
      <c r="D21" s="52"/>
      <c r="E21" s="52"/>
      <c r="F21" s="52"/>
      <c r="G21" s="52"/>
      <c r="H21" s="47"/>
      <c r="I21" s="47"/>
    </row>
    <row r="22" spans="1:11" ht="15" outlineLevel="1" x14ac:dyDescent="0.25">
      <c r="A22" s="47"/>
      <c r="B22" s="47"/>
      <c r="C22" s="47"/>
      <c r="D22" s="47"/>
      <c r="E22" s="47"/>
      <c r="F22" s="47"/>
      <c r="G22" s="47"/>
      <c r="H22" s="47"/>
      <c r="I22" s="47"/>
    </row>
    <row r="23" spans="1:11" ht="15" outlineLevel="1" x14ac:dyDescent="0.25">
      <c r="A23" s="49" t="s">
        <v>16</v>
      </c>
      <c r="B23" s="47"/>
      <c r="C23" s="47"/>
      <c r="D23" s="47"/>
      <c r="E23" s="47"/>
      <c r="F23" s="47"/>
      <c r="G23" s="47"/>
      <c r="H23" s="47"/>
      <c r="I23" s="47"/>
    </row>
    <row r="24" spans="1:11" ht="15" x14ac:dyDescent="0.25">
      <c r="A24" s="47"/>
      <c r="B24" s="85" t="s">
        <v>18</v>
      </c>
      <c r="C24" s="85"/>
      <c r="D24" s="85"/>
      <c r="E24" s="85"/>
      <c r="F24" s="85"/>
      <c r="G24" s="47"/>
      <c r="H24" s="47"/>
      <c r="I24" s="47"/>
    </row>
    <row r="25" spans="1:11" ht="15" x14ac:dyDescent="0.25">
      <c r="A25" s="50"/>
      <c r="B25" s="56">
        <v>160</v>
      </c>
      <c r="C25" s="56">
        <v>180</v>
      </c>
      <c r="D25" s="56">
        <v>200</v>
      </c>
      <c r="E25" s="56">
        <v>220</v>
      </c>
      <c r="F25" s="56">
        <v>240</v>
      </c>
      <c r="G25" s="47"/>
      <c r="H25" s="47"/>
      <c r="I25" s="47"/>
    </row>
    <row r="26" spans="1:11" ht="15" x14ac:dyDescent="0.25">
      <c r="A26" s="47" t="s">
        <v>57</v>
      </c>
      <c r="B26" s="52">
        <f>(B25-$B$4)*$B$6-$B$5</f>
        <v>180</v>
      </c>
      <c r="C26" s="52">
        <f>(C25-$B$4)*$B$6-$B$5</f>
        <v>280</v>
      </c>
      <c r="D26" s="52">
        <f>(D25-$B$4)*$B$6-$B$5</f>
        <v>380</v>
      </c>
      <c r="E26" s="52">
        <f>(E25-$B$4)*$B$6-$B$5</f>
        <v>480</v>
      </c>
      <c r="F26" s="52">
        <f>(F25-$B$4)*$B$6-$B$5</f>
        <v>580</v>
      </c>
      <c r="G26" s="47"/>
      <c r="H26" s="47"/>
      <c r="I26" s="47"/>
    </row>
    <row r="27" spans="1:11" ht="15.75" thickBot="1" x14ac:dyDescent="0.3">
      <c r="A27" s="57" t="s">
        <v>56</v>
      </c>
      <c r="B27" s="58">
        <f>-$B$7-PV($B$9,$B$6,B26)</f>
        <v>-425.65270630498446</v>
      </c>
      <c r="C27" s="58">
        <f>-$B$7-PV($B$9,$B$6,C26)</f>
        <v>32.318012414468512</v>
      </c>
      <c r="D27" s="58">
        <f>-$B$7-PV($B$9,$B$6,D26)</f>
        <v>490.2887311339216</v>
      </c>
      <c r="E27" s="58">
        <f>-$B$7-PV($B$9,$B$6,E26)</f>
        <v>948.25944985337446</v>
      </c>
      <c r="F27" s="58">
        <f>-$B$7-PV($B$9,$B$6,F26)</f>
        <v>1406.2301685728276</v>
      </c>
      <c r="G27" s="47"/>
      <c r="H27" s="47" t="s">
        <v>0</v>
      </c>
      <c r="I27" s="47"/>
    </row>
    <row r="28" spans="1:11" ht="15.75" thickTop="1" x14ac:dyDescent="0.25">
      <c r="A28" s="47"/>
      <c r="B28" s="47"/>
      <c r="C28" s="47"/>
      <c r="D28" s="47"/>
      <c r="E28" s="47"/>
      <c r="F28" s="47"/>
      <c r="G28" s="47"/>
      <c r="H28" s="47"/>
      <c r="I28" s="47"/>
    </row>
    <row r="29" spans="1:11" x14ac:dyDescent="0.2">
      <c r="H29" s="2" t="s">
        <v>0</v>
      </c>
    </row>
    <row r="31" spans="1:11" x14ac:dyDescent="0.2">
      <c r="I31" s="2" t="s">
        <v>0</v>
      </c>
    </row>
    <row r="32" spans="1:11" x14ac:dyDescent="0.2">
      <c r="K32" s="2" t="s">
        <v>0</v>
      </c>
    </row>
    <row r="33" spans="10:11" x14ac:dyDescent="0.2">
      <c r="K33" s="2" t="s">
        <v>0</v>
      </c>
    </row>
    <row r="34" spans="10:11" x14ac:dyDescent="0.2">
      <c r="J34" s="2" t="s">
        <v>0</v>
      </c>
    </row>
  </sheetData>
  <mergeCells count="1">
    <mergeCell ref="B24:F24"/>
  </mergeCells>
  <phoneticPr fontId="2" type="noConversion"/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2"/>
  <sheetViews>
    <sheetView workbookViewId="0"/>
  </sheetViews>
  <sheetFormatPr baseColWidth="10" defaultColWidth="9.140625" defaultRowHeight="15" x14ac:dyDescent="0.25"/>
  <cols>
    <col min="1" max="256" width="11.42578125" style="39" customWidth="1"/>
    <col min="257" max="16384" width="9.140625" style="39"/>
  </cols>
  <sheetData>
    <row r="1" spans="1:6" x14ac:dyDescent="0.25">
      <c r="A1" s="39" t="s">
        <v>31</v>
      </c>
      <c r="C1" s="71"/>
    </row>
    <row r="2" spans="1:6" x14ac:dyDescent="0.25">
      <c r="C2" s="39" t="s">
        <v>72</v>
      </c>
    </row>
    <row r="3" spans="1:6" x14ac:dyDescent="0.25">
      <c r="B3" s="40">
        <v>6</v>
      </c>
      <c r="C3" s="40">
        <v>12</v>
      </c>
      <c r="D3" s="40">
        <v>18.8</v>
      </c>
      <c r="E3" s="41"/>
    </row>
    <row r="4" spans="1:6" ht="16.5" x14ac:dyDescent="0.3">
      <c r="A4" s="42" t="s">
        <v>66</v>
      </c>
      <c r="B4" s="43">
        <f>-PV(5%,B3,1)</f>
        <v>5.0756920672674468</v>
      </c>
      <c r="C4" s="43">
        <f>-PV(5%,C3,1)</f>
        <v>8.8632516364488101</v>
      </c>
      <c r="D4" s="43">
        <f>-PV(5%,D3,1)</f>
        <v>12.00771111736633</v>
      </c>
      <c r="E4" s="44"/>
    </row>
    <row r="7" spans="1:6" x14ac:dyDescent="0.25">
      <c r="F7" s="41"/>
    </row>
    <row r="14" spans="1:6" x14ac:dyDescent="0.25">
      <c r="B14" s="41"/>
      <c r="C14" s="41"/>
      <c r="D14" s="41"/>
      <c r="E14" s="41"/>
    </row>
    <row r="22" spans="4:9" x14ac:dyDescent="0.25">
      <c r="D22" s="71"/>
      <c r="E22" s="71"/>
      <c r="F22" s="71"/>
      <c r="G22" s="71"/>
      <c r="H22" s="71"/>
      <c r="I22" s="71"/>
    </row>
  </sheetData>
  <pageMargins left="0.7" right="0.7" top="0.75" bottom="0.75" header="0.3" footer="0.3"/>
  <pageSetup orientation="portrait" horizontalDpi="4294967293" vertic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27"/>
  <sheetViews>
    <sheetView zoomScaleNormal="100" workbookViewId="0">
      <selection activeCell="B10" sqref="B10"/>
    </sheetView>
  </sheetViews>
  <sheetFormatPr baseColWidth="10" defaultColWidth="11.42578125" defaultRowHeight="12.75" outlineLevelRow="1" outlineLevelCol="1" x14ac:dyDescent="0.2"/>
  <cols>
    <col min="1" max="1" width="21.28515625" style="3" customWidth="1"/>
    <col min="2" max="2" width="13.5703125" style="3" customWidth="1"/>
    <col min="3" max="3" width="8" style="3" customWidth="1"/>
    <col min="4" max="4" width="11.42578125" style="3" customWidth="1"/>
    <col min="5" max="5" width="11.28515625" style="3" customWidth="1"/>
    <col min="6" max="7" width="7.28515625" style="3" customWidth="1"/>
    <col min="8" max="15" width="9.140625" style="3" hidden="1" customWidth="1" outlineLevel="1"/>
    <col min="16" max="16" width="7.7109375" style="3" customWidth="1" collapsed="1"/>
    <col min="17" max="17" width="8.140625" style="3" customWidth="1"/>
    <col min="18" max="18" width="5.5703125" style="3" customWidth="1"/>
    <col min="19" max="19" width="14.28515625" style="3" customWidth="1"/>
    <col min="20" max="20" width="9.28515625" style="3" bestFit="1" customWidth="1"/>
    <col min="21" max="21" width="11.42578125" style="3" customWidth="1"/>
    <col min="22" max="22" width="18" style="3" customWidth="1"/>
    <col min="23" max="16384" width="11.42578125" style="3"/>
  </cols>
  <sheetData>
    <row r="1" spans="1:35" ht="15" outlineLevel="1" x14ac:dyDescent="0.25">
      <c r="A1" s="46" t="s">
        <v>31</v>
      </c>
    </row>
    <row r="2" spans="1:35" x14ac:dyDescent="0.2">
      <c r="F2" s="86" t="s">
        <v>33</v>
      </c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35" x14ac:dyDescent="0.2">
      <c r="B3" s="21" t="s">
        <v>27</v>
      </c>
      <c r="D3" s="21" t="s">
        <v>26</v>
      </c>
      <c r="F3" s="13">
        <v>2020</v>
      </c>
      <c r="G3" s="3">
        <f t="shared" ref="G3:P3" si="0">F3+1</f>
        <v>2021</v>
      </c>
      <c r="H3" s="3">
        <f t="shared" si="0"/>
        <v>2022</v>
      </c>
      <c r="I3" s="3">
        <f t="shared" si="0"/>
        <v>2023</v>
      </c>
      <c r="J3" s="3">
        <f t="shared" si="0"/>
        <v>2024</v>
      </c>
      <c r="K3" s="3">
        <f t="shared" si="0"/>
        <v>2025</v>
      </c>
      <c r="L3" s="3">
        <f t="shared" si="0"/>
        <v>2026</v>
      </c>
      <c r="M3" s="3">
        <f t="shared" si="0"/>
        <v>2027</v>
      </c>
      <c r="N3" s="3">
        <f t="shared" si="0"/>
        <v>2028</v>
      </c>
      <c r="O3" s="3">
        <f t="shared" si="0"/>
        <v>2029</v>
      </c>
      <c r="P3" s="3">
        <f t="shared" si="0"/>
        <v>2030</v>
      </c>
    </row>
    <row r="4" spans="1:35" outlineLevel="1" x14ac:dyDescent="0.2">
      <c r="A4" s="22" t="s">
        <v>37</v>
      </c>
      <c r="B4" s="7">
        <v>10000</v>
      </c>
      <c r="C4" s="6" t="s">
        <v>38</v>
      </c>
      <c r="D4" s="6">
        <v>13172.734906155092</v>
      </c>
      <c r="E4" s="6" t="s">
        <v>39</v>
      </c>
      <c r="F4" s="7"/>
      <c r="G4" s="3">
        <f t="shared" ref="G4:P4" si="1">$D$4*$B$4/1000000</f>
        <v>131.72734906155091</v>
      </c>
      <c r="H4" s="3">
        <f t="shared" si="1"/>
        <v>131.72734906155091</v>
      </c>
      <c r="I4" s="3">
        <f t="shared" si="1"/>
        <v>131.72734906155091</v>
      </c>
      <c r="J4" s="3">
        <f t="shared" si="1"/>
        <v>131.72734906155091</v>
      </c>
      <c r="K4" s="3">
        <f t="shared" si="1"/>
        <v>131.72734906155091</v>
      </c>
      <c r="L4" s="3">
        <f t="shared" si="1"/>
        <v>131.72734906155091</v>
      </c>
      <c r="M4" s="3">
        <f t="shared" si="1"/>
        <v>131.72734906155091</v>
      </c>
      <c r="N4" s="3">
        <f t="shared" si="1"/>
        <v>131.72734906155091</v>
      </c>
      <c r="O4" s="3">
        <f t="shared" si="1"/>
        <v>131.72734906155091</v>
      </c>
      <c r="P4" s="23">
        <f t="shared" si="1"/>
        <v>131.72734906155091</v>
      </c>
      <c r="Q4" s="13" t="s">
        <v>40</v>
      </c>
      <c r="S4" s="17"/>
      <c r="AA4" s="12"/>
      <c r="AB4" s="12"/>
      <c r="AC4" s="12"/>
      <c r="AD4" s="12"/>
      <c r="AE4" s="12"/>
      <c r="AF4" s="12"/>
      <c r="AG4" s="12"/>
      <c r="AH4" s="12"/>
      <c r="AI4" s="12"/>
    </row>
    <row r="5" spans="1:35" outlineLevel="1" x14ac:dyDescent="0.2">
      <c r="A5" s="22" t="s">
        <v>41</v>
      </c>
      <c r="B5" s="7">
        <v>20000</v>
      </c>
      <c r="C5" s="6" t="s">
        <v>38</v>
      </c>
      <c r="D5" s="7">
        <v>2500</v>
      </c>
      <c r="E5" s="6" t="s">
        <v>39</v>
      </c>
      <c r="F5" s="7"/>
      <c r="G5" s="3">
        <f t="shared" ref="G5:P5" si="2">-$D$5*$B$5/1000000</f>
        <v>-50</v>
      </c>
      <c r="H5" s="3">
        <f t="shared" si="2"/>
        <v>-50</v>
      </c>
      <c r="I5" s="3">
        <f t="shared" si="2"/>
        <v>-50</v>
      </c>
      <c r="J5" s="3">
        <f t="shared" si="2"/>
        <v>-50</v>
      </c>
      <c r="K5" s="3">
        <f t="shared" si="2"/>
        <v>-50</v>
      </c>
      <c r="L5" s="3">
        <f t="shared" si="2"/>
        <v>-50</v>
      </c>
      <c r="M5" s="3">
        <f t="shared" si="2"/>
        <v>-50</v>
      </c>
      <c r="N5" s="3">
        <f t="shared" si="2"/>
        <v>-50</v>
      </c>
      <c r="O5" s="3">
        <f t="shared" si="2"/>
        <v>-50</v>
      </c>
      <c r="P5" s="3">
        <f t="shared" si="2"/>
        <v>-50</v>
      </c>
      <c r="Q5" s="3" t="s">
        <v>42</v>
      </c>
    </row>
    <row r="6" spans="1:35" outlineLevel="1" x14ac:dyDescent="0.2">
      <c r="A6" s="3" t="s">
        <v>43</v>
      </c>
      <c r="B6" s="7">
        <v>145000000</v>
      </c>
      <c r="C6" s="24" t="s">
        <v>44</v>
      </c>
      <c r="D6" s="25">
        <v>0.35</v>
      </c>
      <c r="E6" s="26" t="s">
        <v>45</v>
      </c>
      <c r="F6" s="7"/>
      <c r="G6" s="23">
        <f t="shared" ref="G6:P6" si="3">-$D$6*$B$6/1000000</f>
        <v>-50.75</v>
      </c>
      <c r="H6" s="23">
        <f t="shared" si="3"/>
        <v>-50.75</v>
      </c>
      <c r="I6" s="23">
        <f t="shared" si="3"/>
        <v>-50.75</v>
      </c>
      <c r="J6" s="23">
        <f t="shared" si="3"/>
        <v>-50.75</v>
      </c>
      <c r="K6" s="23">
        <f t="shared" si="3"/>
        <v>-50.75</v>
      </c>
      <c r="L6" s="23">
        <f t="shared" si="3"/>
        <v>-50.75</v>
      </c>
      <c r="M6" s="23">
        <f t="shared" si="3"/>
        <v>-50.75</v>
      </c>
      <c r="N6" s="23">
        <f t="shared" si="3"/>
        <v>-50.75</v>
      </c>
      <c r="O6" s="23">
        <f t="shared" si="3"/>
        <v>-50.75</v>
      </c>
      <c r="P6" s="23">
        <f t="shared" si="3"/>
        <v>-50.75</v>
      </c>
      <c r="Q6" s="3" t="s">
        <v>42</v>
      </c>
    </row>
    <row r="7" spans="1:35" outlineLevel="1" x14ac:dyDescent="0.2">
      <c r="A7" s="3" t="s">
        <v>46</v>
      </c>
      <c r="G7" s="23">
        <f t="shared" ref="G7:P7" si="4">SUM(G4:G6)</f>
        <v>30.97734906155091</v>
      </c>
      <c r="H7" s="23">
        <f t="shared" si="4"/>
        <v>30.97734906155091</v>
      </c>
      <c r="I7" s="23">
        <f t="shared" si="4"/>
        <v>30.97734906155091</v>
      </c>
      <c r="J7" s="23">
        <f t="shared" si="4"/>
        <v>30.97734906155091</v>
      </c>
      <c r="K7" s="23">
        <f t="shared" si="4"/>
        <v>30.97734906155091</v>
      </c>
      <c r="L7" s="23">
        <f t="shared" si="4"/>
        <v>30.97734906155091</v>
      </c>
      <c r="M7" s="23">
        <f t="shared" si="4"/>
        <v>30.97734906155091</v>
      </c>
      <c r="N7" s="23">
        <f t="shared" si="4"/>
        <v>30.97734906155091</v>
      </c>
      <c r="O7" s="23">
        <f t="shared" si="4"/>
        <v>30.97734906155091</v>
      </c>
      <c r="P7" s="23">
        <f t="shared" si="4"/>
        <v>30.97734906155091</v>
      </c>
      <c r="Q7" s="3" t="s">
        <v>42</v>
      </c>
      <c r="U7" s="18"/>
    </row>
    <row r="8" spans="1:35" outlineLevel="1" x14ac:dyDescent="0.2">
      <c r="A8" s="3" t="s">
        <v>47</v>
      </c>
      <c r="B8" s="7">
        <v>14</v>
      </c>
      <c r="C8" s="6" t="s">
        <v>48</v>
      </c>
      <c r="D8" s="7">
        <v>700000</v>
      </c>
      <c r="E8" s="3" t="s">
        <v>49</v>
      </c>
      <c r="F8" s="7"/>
      <c r="G8" s="23">
        <f t="shared" ref="G8:P8" si="5">-$D$8*$B$8/1000000</f>
        <v>-9.8000000000000007</v>
      </c>
      <c r="H8" s="23">
        <f t="shared" si="5"/>
        <v>-9.8000000000000007</v>
      </c>
      <c r="I8" s="23">
        <f t="shared" si="5"/>
        <v>-9.8000000000000007</v>
      </c>
      <c r="J8" s="23">
        <f t="shared" si="5"/>
        <v>-9.8000000000000007</v>
      </c>
      <c r="K8" s="23">
        <f t="shared" si="5"/>
        <v>-9.8000000000000007</v>
      </c>
      <c r="L8" s="23">
        <f t="shared" si="5"/>
        <v>-9.8000000000000007</v>
      </c>
      <c r="M8" s="23">
        <f t="shared" si="5"/>
        <v>-9.8000000000000007</v>
      </c>
      <c r="N8" s="23">
        <f t="shared" si="5"/>
        <v>-9.8000000000000007</v>
      </c>
      <c r="O8" s="23">
        <f t="shared" si="5"/>
        <v>-9.8000000000000007</v>
      </c>
      <c r="P8" s="23">
        <f t="shared" si="5"/>
        <v>-9.8000000000000007</v>
      </c>
      <c r="Q8" s="3" t="s">
        <v>42</v>
      </c>
    </row>
    <row r="9" spans="1:35" outlineLevel="1" x14ac:dyDescent="0.2">
      <c r="A9" s="5" t="s">
        <v>50</v>
      </c>
      <c r="F9" s="13">
        <v>-250</v>
      </c>
      <c r="P9" s="13">
        <v>100</v>
      </c>
      <c r="Q9" s="3" t="s">
        <v>42</v>
      </c>
    </row>
    <row r="10" spans="1:35" outlineLevel="1" x14ac:dyDescent="0.2">
      <c r="A10" s="3" t="s">
        <v>51</v>
      </c>
      <c r="B10" s="27">
        <v>0.15</v>
      </c>
      <c r="F10" s="23">
        <f>-D4*B4*B10/1000000</f>
        <v>-19.759102359232639</v>
      </c>
      <c r="P10" s="23">
        <f>-F10</f>
        <v>19.759102359232639</v>
      </c>
      <c r="Q10" s="3" t="s">
        <v>42</v>
      </c>
    </row>
    <row r="11" spans="1:35" x14ac:dyDescent="0.2">
      <c r="A11" s="3" t="s">
        <v>2</v>
      </c>
      <c r="F11" s="23">
        <f t="shared" ref="F11:P11" si="6">SUM(F7:F10)</f>
        <v>-269.75910235923266</v>
      </c>
      <c r="G11" s="23">
        <f t="shared" si="6"/>
        <v>21.17734906155091</v>
      </c>
      <c r="H11" s="23">
        <f t="shared" si="6"/>
        <v>21.17734906155091</v>
      </c>
      <c r="I11" s="23">
        <f t="shared" si="6"/>
        <v>21.17734906155091</v>
      </c>
      <c r="J11" s="23">
        <f t="shared" si="6"/>
        <v>21.17734906155091</v>
      </c>
      <c r="K11" s="23">
        <f t="shared" si="6"/>
        <v>21.17734906155091</v>
      </c>
      <c r="L11" s="23">
        <f t="shared" si="6"/>
        <v>21.17734906155091</v>
      </c>
      <c r="M11" s="23">
        <f t="shared" si="6"/>
        <v>21.17734906155091</v>
      </c>
      <c r="N11" s="23">
        <f t="shared" si="6"/>
        <v>21.17734906155091</v>
      </c>
      <c r="O11" s="23">
        <f t="shared" si="6"/>
        <v>21.17734906155091</v>
      </c>
      <c r="P11" s="23">
        <f t="shared" si="6"/>
        <v>140.93645142078356</v>
      </c>
      <c r="Q11" s="3" t="s">
        <v>42</v>
      </c>
    </row>
    <row r="12" spans="1:35" hidden="1" outlineLevel="1" x14ac:dyDescent="0.2">
      <c r="G12" s="3">
        <f t="shared" ref="G12:P12" si="7">1/(1+$D$15)^(G3-$F$3)</f>
        <v>0.970873786407767</v>
      </c>
      <c r="H12" s="3">
        <f t="shared" si="7"/>
        <v>0.94259590913375435</v>
      </c>
      <c r="I12" s="3">
        <f t="shared" si="7"/>
        <v>0.91514165935315961</v>
      </c>
      <c r="J12" s="3">
        <f t="shared" si="7"/>
        <v>0.888487047915689</v>
      </c>
      <c r="K12" s="3">
        <f t="shared" si="7"/>
        <v>0.86260878438416411</v>
      </c>
      <c r="L12" s="3">
        <f t="shared" si="7"/>
        <v>0.83748425668365445</v>
      </c>
      <c r="M12" s="3">
        <f t="shared" si="7"/>
        <v>0.81309151134335378</v>
      </c>
      <c r="N12" s="3">
        <f t="shared" si="7"/>
        <v>0.78940923431393573</v>
      </c>
      <c r="O12" s="3">
        <f t="shared" si="7"/>
        <v>0.76641673234362695</v>
      </c>
      <c r="P12" s="3">
        <f t="shared" si="7"/>
        <v>0.74409391489672516</v>
      </c>
    </row>
    <row r="13" spans="1:35" hidden="1" outlineLevel="1" x14ac:dyDescent="0.2">
      <c r="F13" s="23">
        <f>F11</f>
        <v>-269.75910235923266</v>
      </c>
      <c r="G13" s="3">
        <f>G12*G11</f>
        <v>20.560533069466903</v>
      </c>
      <c r="H13" s="3">
        <f t="shared" ref="H13:P13" si="8">H12*H11</f>
        <v>19.961682591715441</v>
      </c>
      <c r="I13" s="3">
        <f t="shared" si="8"/>
        <v>19.380274360888777</v>
      </c>
      <c r="J13" s="3">
        <f t="shared" si="8"/>
        <v>18.815800350377454</v>
      </c>
      <c r="K13" s="3">
        <f t="shared" si="8"/>
        <v>18.267767330463549</v>
      </c>
      <c r="L13" s="3">
        <f t="shared" si="8"/>
        <v>17.73569643734325</v>
      </c>
      <c r="M13" s="3">
        <f t="shared" si="8"/>
        <v>17.219122754702184</v>
      </c>
      <c r="N13" s="3">
        <f t="shared" si="8"/>
        <v>16.717594907477849</v>
      </c>
      <c r="O13" s="3">
        <f t="shared" si="8"/>
        <v>16.230674667454224</v>
      </c>
      <c r="P13" s="3">
        <f t="shared" si="8"/>
        <v>104.86995588934296</v>
      </c>
      <c r="Q13" s="23"/>
    </row>
    <row r="14" spans="1:35" collapsed="1" x14ac:dyDescent="0.2">
      <c r="A14" s="3" t="s">
        <v>3</v>
      </c>
      <c r="F14" s="10">
        <f>IRR(F11:P11)</f>
        <v>3.000000000009706E-2</v>
      </c>
    </row>
    <row r="15" spans="1:35" ht="13.5" thickBot="1" x14ac:dyDescent="0.25">
      <c r="A15" s="30" t="s">
        <v>52</v>
      </c>
      <c r="B15" s="30"/>
      <c r="C15" s="30"/>
      <c r="D15" s="38">
        <v>0.03</v>
      </c>
      <c r="E15" s="31"/>
      <c r="F15" s="32">
        <f>NPV(D15,$F$11:$P$11)*(1+D15)</f>
        <v>-1.2789769243681803E-13</v>
      </c>
      <c r="G15" s="30" t="str">
        <f>Q4</f>
        <v>mill. kr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</row>
    <row r="16" spans="1:35" ht="13.5" thickTop="1" x14ac:dyDescent="0.2"/>
    <row r="17" spans="1:22" x14ac:dyDescent="0.2">
      <c r="G17" s="10"/>
    </row>
    <row r="18" spans="1:22" x14ac:dyDescent="0.2">
      <c r="D18" s="10"/>
      <c r="E18" s="10"/>
    </row>
    <row r="19" spans="1:22" x14ac:dyDescent="0.2">
      <c r="B19" s="11"/>
    </row>
    <row r="20" spans="1:22" x14ac:dyDescent="0.2">
      <c r="B20" s="11"/>
      <c r="D20" s="22"/>
    </row>
    <row r="21" spans="1:22" x14ac:dyDescent="0.2">
      <c r="B21" s="12"/>
      <c r="C21" s="11"/>
      <c r="D21" s="12"/>
      <c r="E21" s="12"/>
      <c r="F21" s="12"/>
      <c r="G21" s="28"/>
      <c r="H21" s="12"/>
    </row>
    <row r="22" spans="1:22" hidden="1" outlineLevel="1" x14ac:dyDescent="0.2">
      <c r="A22" s="22"/>
      <c r="B22" s="12"/>
      <c r="C22" s="12"/>
      <c r="D22" s="12"/>
      <c r="E22" s="12"/>
      <c r="F22" s="12"/>
      <c r="G22" s="28"/>
      <c r="H22" s="12"/>
    </row>
    <row r="23" spans="1:22" collapsed="1" x14ac:dyDescent="0.2">
      <c r="A23" s="22"/>
      <c r="B23" s="6"/>
      <c r="C23" s="6"/>
      <c r="D23" s="6"/>
      <c r="E23" s="6"/>
      <c r="F23" s="6"/>
      <c r="G23" s="29"/>
      <c r="H23" s="6"/>
    </row>
    <row r="26" spans="1:22" x14ac:dyDescent="0.2">
      <c r="U26" s="19"/>
    </row>
    <row r="27" spans="1:22" x14ac:dyDescent="0.2">
      <c r="V27" s="20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7"/>
  <sheetViews>
    <sheetView tabSelected="1" zoomScaleNormal="100" workbookViewId="0"/>
  </sheetViews>
  <sheetFormatPr baseColWidth="10" defaultColWidth="9.140625" defaultRowHeight="12.75" x14ac:dyDescent="0.2"/>
  <cols>
    <col min="1" max="1" width="32.85546875" style="1" customWidth="1"/>
    <col min="2" max="256" width="11.42578125" style="1" customWidth="1"/>
    <col min="257" max="16384" width="9.140625" style="1"/>
  </cols>
  <sheetData>
    <row r="1" spans="1:6" ht="15" x14ac:dyDescent="0.25">
      <c r="A1" s="46" t="s">
        <v>31</v>
      </c>
      <c r="B1" s="39"/>
      <c r="C1" s="39"/>
      <c r="D1" s="39"/>
      <c r="E1" s="39"/>
      <c r="F1" s="39"/>
    </row>
    <row r="2" spans="1:6" ht="15" x14ac:dyDescent="0.25">
      <c r="A2" s="46" t="s">
        <v>70</v>
      </c>
      <c r="B2" s="41">
        <v>1250</v>
      </c>
      <c r="C2" s="39"/>
      <c r="D2" s="39"/>
      <c r="E2" s="39"/>
      <c r="F2" s="39"/>
    </row>
    <row r="3" spans="1:6" ht="15" x14ac:dyDescent="0.25">
      <c r="A3" s="46" t="s">
        <v>71</v>
      </c>
      <c r="B3" s="41">
        <v>5</v>
      </c>
      <c r="C3" s="39"/>
      <c r="D3" s="39"/>
      <c r="E3" s="39"/>
      <c r="F3" s="39"/>
    </row>
    <row r="4" spans="1:6" ht="15" x14ac:dyDescent="0.25">
      <c r="A4" s="39"/>
      <c r="B4" s="39"/>
      <c r="C4" s="39"/>
      <c r="D4" s="39"/>
      <c r="E4" s="39"/>
      <c r="F4" s="39"/>
    </row>
    <row r="5" spans="1:6" ht="15" x14ac:dyDescent="0.25">
      <c r="A5" s="39"/>
      <c r="B5" s="87" t="s">
        <v>69</v>
      </c>
      <c r="C5" s="87"/>
      <c r="D5" s="87"/>
      <c r="E5" s="87"/>
      <c r="F5" s="87"/>
    </row>
    <row r="6" spans="1:6" ht="15" x14ac:dyDescent="0.25">
      <c r="A6" s="59"/>
      <c r="B6" s="60">
        <v>160</v>
      </c>
      <c r="C6" s="60">
        <v>180</v>
      </c>
      <c r="D6" s="60">
        <v>200</v>
      </c>
      <c r="E6" s="60">
        <v>220</v>
      </c>
      <c r="F6" s="60">
        <v>240</v>
      </c>
    </row>
    <row r="7" spans="1:6" ht="15" x14ac:dyDescent="0.25">
      <c r="A7" s="39" t="s">
        <v>73</v>
      </c>
      <c r="B7" s="41">
        <v>180</v>
      </c>
      <c r="C7" s="41">
        <v>280</v>
      </c>
      <c r="D7" s="41">
        <v>380</v>
      </c>
      <c r="E7" s="41">
        <v>480</v>
      </c>
      <c r="F7" s="41">
        <v>580</v>
      </c>
    </row>
    <row r="8" spans="1:6" ht="15.75" thickBot="1" x14ac:dyDescent="0.3">
      <c r="A8" s="61" t="s">
        <v>3</v>
      </c>
      <c r="B8" s="62">
        <f>RATE($B$3,B7,-$B$2)</f>
        <v>-0.10037792351994493</v>
      </c>
      <c r="C8" s="62">
        <f>RATE($B$3,C7,-$B$2)</f>
        <v>3.9005620227034375E-2</v>
      </c>
      <c r="D8" s="62">
        <f>RATE($B$3,D7,-$B$2)</f>
        <v>0.15802006926301718</v>
      </c>
      <c r="E8" s="62">
        <f>RATE($B$3,E7,-$B$2)</f>
        <v>0.2658570040678398</v>
      </c>
      <c r="F8" s="62">
        <f>RATE($B$3,F7,-$B$2)</f>
        <v>0.3666863729364323</v>
      </c>
    </row>
    <row r="9" spans="1:6" ht="15.75" thickTop="1" x14ac:dyDescent="0.25">
      <c r="A9" s="39"/>
      <c r="B9" s="39"/>
      <c r="C9" s="39"/>
      <c r="D9" s="39"/>
      <c r="E9" s="39"/>
      <c r="F9" s="39"/>
    </row>
    <row r="10" spans="1:6" ht="15" x14ac:dyDescent="0.25">
      <c r="A10" s="39"/>
      <c r="B10" s="39"/>
      <c r="C10" s="39"/>
      <c r="D10" s="39"/>
      <c r="E10" s="39"/>
      <c r="F10" s="39"/>
    </row>
    <row r="27" spans="2:2" x14ac:dyDescent="0.2">
      <c r="B27" s="1" t="s">
        <v>0</v>
      </c>
    </row>
  </sheetData>
  <mergeCells count="1">
    <mergeCell ref="B5:F5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"/>
  <sheetViews>
    <sheetView zoomScaleNormal="100" workbookViewId="0">
      <selection activeCell="D21" sqref="D21"/>
    </sheetView>
  </sheetViews>
  <sheetFormatPr baseColWidth="10" defaultColWidth="9.140625" defaultRowHeight="12.75" outlineLevelRow="1" x14ac:dyDescent="0.2"/>
  <cols>
    <col min="1" max="1" width="19.28515625" style="1" customWidth="1"/>
    <col min="2" max="256" width="11.42578125" style="1" customWidth="1"/>
    <col min="257" max="16384" width="9.140625" style="1"/>
  </cols>
  <sheetData>
    <row r="1" spans="1:6" ht="15" outlineLevel="1" x14ac:dyDescent="0.25">
      <c r="A1" s="46" t="s">
        <v>31</v>
      </c>
    </row>
    <row r="2" spans="1:6" outlineLevel="1" x14ac:dyDescent="0.2">
      <c r="A2" s="3" t="s">
        <v>70</v>
      </c>
      <c r="B2" s="16">
        <v>1250</v>
      </c>
    </row>
    <row r="3" spans="1:6" outlineLevel="1" x14ac:dyDescent="0.2">
      <c r="A3" s="3" t="s">
        <v>30</v>
      </c>
      <c r="B3" s="14">
        <v>5</v>
      </c>
    </row>
    <row r="4" spans="1:6" outlineLevel="1" x14ac:dyDescent="0.2">
      <c r="A4" s="1" t="s">
        <v>36</v>
      </c>
      <c r="B4" s="37">
        <v>0.03</v>
      </c>
    </row>
    <row r="5" spans="1:6" x14ac:dyDescent="0.2">
      <c r="B5" s="88" t="s">
        <v>69</v>
      </c>
      <c r="C5" s="88"/>
      <c r="D5" s="88"/>
      <c r="E5" s="88"/>
      <c r="F5" s="88"/>
    </row>
    <row r="6" spans="1:6" x14ac:dyDescent="0.2">
      <c r="A6" s="34"/>
      <c r="B6" s="35">
        <v>160</v>
      </c>
      <c r="C6" s="35">
        <v>180</v>
      </c>
      <c r="D6" s="35">
        <v>200</v>
      </c>
      <c r="E6" s="35">
        <v>220</v>
      </c>
      <c r="F6" s="35">
        <v>240</v>
      </c>
    </row>
    <row r="7" spans="1:6" x14ac:dyDescent="0.2">
      <c r="A7" s="1" t="s">
        <v>19</v>
      </c>
      <c r="B7" s="33">
        <v>-0.2</v>
      </c>
      <c r="C7" s="33">
        <v>-0.1</v>
      </c>
      <c r="D7" s="33">
        <v>0</v>
      </c>
      <c r="E7" s="33">
        <v>0.1</v>
      </c>
      <c r="F7" s="33">
        <v>0.2</v>
      </c>
    </row>
    <row r="8" spans="1:6" hidden="1" outlineLevel="1" x14ac:dyDescent="0.2">
      <c r="A8" s="1" t="s">
        <v>17</v>
      </c>
      <c r="B8" s="1">
        <v>180</v>
      </c>
      <c r="C8" s="1">
        <v>280</v>
      </c>
      <c r="D8" s="1">
        <v>380</v>
      </c>
      <c r="E8" s="1">
        <v>480</v>
      </c>
      <c r="F8" s="1">
        <v>580</v>
      </c>
    </row>
    <row r="9" spans="1:6" ht="13.5" collapsed="1" thickBot="1" x14ac:dyDescent="0.25">
      <c r="A9" s="15" t="s">
        <v>68</v>
      </c>
      <c r="B9" s="36">
        <f>- $B$2- PV($B$4,$B$3,B8)</f>
        <v>-425.65270630498446</v>
      </c>
      <c r="C9" s="36">
        <f>- $B$2- PV($B$4,$B$3,C8)</f>
        <v>32.318012414468512</v>
      </c>
      <c r="D9" s="36">
        <f>- $B$2- PV($B$4,$B$3,D8)</f>
        <v>490.2887311339216</v>
      </c>
      <c r="E9" s="36">
        <f>- $B$2- PV($B$4,$B$3,E8)</f>
        <v>948.25944985337446</v>
      </c>
      <c r="F9" s="36">
        <f>- $B$2- PV($B$4,$B$3,F8)</f>
        <v>1406.2301685728276</v>
      </c>
    </row>
    <row r="10" spans="1:6" ht="13.5" thickTop="1" x14ac:dyDescent="0.2"/>
    <row r="19" spans="4:4" x14ac:dyDescent="0.2">
      <c r="D19" s="1" t="s">
        <v>0</v>
      </c>
    </row>
  </sheetData>
  <mergeCells count="1">
    <mergeCell ref="B5:F5"/>
  </mergeCells>
  <pageMargins left="0.7" right="0.7" top="0.75" bottom="0.75" header="0.3" footer="0.3"/>
  <pageSetup paperSize="9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2"/>
  <sheetViews>
    <sheetView zoomScaleNormal="100" workbookViewId="0"/>
  </sheetViews>
  <sheetFormatPr baseColWidth="10" defaultColWidth="9.140625" defaultRowHeight="12.75" outlineLevelRow="1" x14ac:dyDescent="0.2"/>
  <cols>
    <col min="1" max="1" width="14.28515625" style="3" customWidth="1"/>
    <col min="2" max="5" width="8.42578125" style="3" customWidth="1"/>
    <col min="6" max="6" width="11.42578125" style="3" customWidth="1"/>
    <col min="7" max="7" width="8.42578125" style="3" customWidth="1"/>
    <col min="8" max="8" width="9.7109375" style="3" customWidth="1"/>
    <col min="9" max="256" width="11.42578125" style="3" customWidth="1"/>
    <col min="257" max="16384" width="9.140625" style="3"/>
  </cols>
  <sheetData>
    <row r="1" spans="1:9" ht="15.6" customHeight="1" x14ac:dyDescent="0.25">
      <c r="A1" s="46" t="s">
        <v>31</v>
      </c>
      <c r="C1" s="89"/>
      <c r="D1" s="89"/>
      <c r="E1" s="89"/>
      <c r="F1" s="89"/>
      <c r="G1" s="89"/>
    </row>
    <row r="2" spans="1:9" x14ac:dyDescent="0.2">
      <c r="D2" s="4"/>
      <c r="E2" s="4"/>
      <c r="F2" s="4"/>
      <c r="G2" s="4"/>
      <c r="H2" s="4"/>
    </row>
    <row r="3" spans="1:9" ht="15" x14ac:dyDescent="0.25">
      <c r="A3" s="72" t="s">
        <v>2</v>
      </c>
      <c r="B3" s="90" t="s">
        <v>33</v>
      </c>
      <c r="C3" s="90"/>
      <c r="D3" s="90"/>
      <c r="E3" s="90"/>
      <c r="F3" s="90"/>
      <c r="G3" s="90"/>
      <c r="H3" s="90"/>
    </row>
    <row r="4" spans="1:9" ht="15" x14ac:dyDescent="0.25">
      <c r="A4" s="73" t="s">
        <v>34</v>
      </c>
      <c r="B4" s="74">
        <v>0</v>
      </c>
      <c r="C4" s="73">
        <f>B4+1</f>
        <v>1</v>
      </c>
      <c r="D4" s="73">
        <f>C4+1</f>
        <v>2</v>
      </c>
      <c r="E4" s="73">
        <f>D4+1</f>
        <v>3</v>
      </c>
      <c r="F4" s="73">
        <f>E4+1</f>
        <v>4</v>
      </c>
      <c r="G4" s="73">
        <f>F4+1</f>
        <v>5</v>
      </c>
      <c r="H4" s="75" t="s">
        <v>3</v>
      </c>
    </row>
    <row r="5" spans="1:9" ht="15" x14ac:dyDescent="0.25">
      <c r="A5" s="76" t="s">
        <v>32</v>
      </c>
      <c r="B5" s="77">
        <v>-1250</v>
      </c>
      <c r="C5" s="77">
        <v>380</v>
      </c>
      <c r="D5" s="77">
        <v>380</v>
      </c>
      <c r="E5" s="77">
        <v>380</v>
      </c>
      <c r="F5" s="77">
        <v>380</v>
      </c>
      <c r="G5" s="77">
        <v>380</v>
      </c>
      <c r="H5" s="78">
        <f>IRR(B5:G5)</f>
        <v>0.15802006926301737</v>
      </c>
    </row>
    <row r="6" spans="1:9" ht="12.75" hidden="1" customHeight="1" outlineLevel="1" x14ac:dyDescent="0.2">
      <c r="A6" s="79" t="s">
        <v>35</v>
      </c>
      <c r="B6" s="77"/>
      <c r="C6" s="77"/>
      <c r="D6" s="77"/>
      <c r="E6" s="77"/>
      <c r="F6" s="77"/>
      <c r="G6" s="77"/>
      <c r="H6" s="77"/>
    </row>
    <row r="7" spans="1:9" ht="15" collapsed="1" x14ac:dyDescent="0.25">
      <c r="A7" s="46"/>
      <c r="B7" s="46"/>
      <c r="C7" s="46"/>
      <c r="D7" s="46"/>
      <c r="E7" s="46"/>
      <c r="F7" s="46"/>
      <c r="G7" s="46"/>
      <c r="H7" s="46"/>
    </row>
    <row r="8" spans="1:9" ht="15" x14ac:dyDescent="0.25">
      <c r="A8" s="72" t="s">
        <v>1</v>
      </c>
      <c r="B8" s="90" t="s">
        <v>36</v>
      </c>
      <c r="C8" s="90"/>
      <c r="D8" s="90"/>
      <c r="E8" s="90"/>
      <c r="F8" s="90"/>
      <c r="G8" s="90"/>
      <c r="H8" s="90"/>
    </row>
    <row r="9" spans="1:9" ht="15" x14ac:dyDescent="0.25">
      <c r="A9" s="73" t="s">
        <v>34</v>
      </c>
      <c r="B9" s="80">
        <f>C9-C9</f>
        <v>0</v>
      </c>
      <c r="C9" s="81">
        <v>0.03</v>
      </c>
      <c r="D9" s="82">
        <f>C9+$C$9</f>
        <v>0.06</v>
      </c>
      <c r="E9" s="82">
        <f>D9+$C$9</f>
        <v>0.09</v>
      </c>
      <c r="F9" s="82">
        <f>E9+$C$9</f>
        <v>0.12</v>
      </c>
      <c r="G9" s="82">
        <f>F9+$C$9</f>
        <v>0.15</v>
      </c>
      <c r="H9" s="82">
        <f>G9+$C$9</f>
        <v>0.18</v>
      </c>
    </row>
    <row r="10" spans="1:9" ht="15.75" thickBot="1" x14ac:dyDescent="0.3">
      <c r="A10" s="83" t="str">
        <f>A5</f>
        <v>Janus</v>
      </c>
      <c r="B10" s="84">
        <f>NPV(B9,$B5:$H$5)*(1+B9)</f>
        <v>650.15802006926299</v>
      </c>
      <c r="C10" s="84">
        <f>NPV(C9,$B5:$H$5)*(1+C9)</f>
        <v>490.42107045417077</v>
      </c>
      <c r="D10" s="84">
        <f>NPV(D9,$B5:$H$5)*(1+D9)</f>
        <v>350.8096364283989</v>
      </c>
      <c r="E10" s="84">
        <f>NPV(E9,$B5:$H$5)*(1+E9)</f>
        <v>228.1617022779449</v>
      </c>
      <c r="F10" s="84">
        <f>NPV(F9,$B5:$H$5)*(1+F9)</f>
        <v>119.8950147759608</v>
      </c>
      <c r="G10" s="84">
        <f>NPV(G9,$B5:$H$5)*(1+G9)</f>
        <v>23.887253680983317</v>
      </c>
      <c r="H10" s="84">
        <f>NPV(H9,$B5:$H$5)*(1+H9)</f>
        <v>-61.61647642460089</v>
      </c>
    </row>
    <row r="11" spans="1:9" hidden="1" outlineLevel="1" x14ac:dyDescent="0.2">
      <c r="A11" s="5" t="str">
        <f>A6</f>
        <v>Beta</v>
      </c>
      <c r="B11" s="8"/>
      <c r="C11" s="8"/>
      <c r="D11" s="8"/>
      <c r="E11" s="8"/>
      <c r="F11" s="8"/>
      <c r="G11" s="8"/>
      <c r="H11" s="8"/>
    </row>
    <row r="12" spans="1:9" ht="13.5" collapsed="1" thickTop="1" x14ac:dyDescent="0.2"/>
    <row r="13" spans="1:9" x14ac:dyDescent="0.2">
      <c r="I13" s="9"/>
    </row>
    <row r="24" spans="2:7" x14ac:dyDescent="0.2">
      <c r="B24" s="9">
        <f t="shared" ref="B24:G24" si="0">C9*100</f>
        <v>3</v>
      </c>
      <c r="C24" s="9">
        <f t="shared" si="0"/>
        <v>6</v>
      </c>
      <c r="D24" s="9">
        <f t="shared" si="0"/>
        <v>9</v>
      </c>
      <c r="E24" s="9">
        <f t="shared" si="0"/>
        <v>12</v>
      </c>
      <c r="F24" s="9">
        <f t="shared" si="0"/>
        <v>15</v>
      </c>
      <c r="G24" s="9">
        <f t="shared" si="0"/>
        <v>18</v>
      </c>
    </row>
    <row r="32" spans="2:7" x14ac:dyDescent="0.2">
      <c r="B32" s="10"/>
    </row>
    <row r="36" spans="1:1" x14ac:dyDescent="0.2">
      <c r="A36" s="5"/>
    </row>
    <row r="52" spans="2:8" x14ac:dyDescent="0.2">
      <c r="B52" s="11"/>
      <c r="C52" s="12"/>
      <c r="D52" s="12"/>
      <c r="E52" s="12"/>
      <c r="F52" s="12"/>
      <c r="G52" s="12"/>
      <c r="H52" s="12"/>
    </row>
  </sheetData>
  <mergeCells count="3">
    <mergeCell ref="C1:G1"/>
    <mergeCell ref="B3:H3"/>
    <mergeCell ref="B8:H8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1"/>
  <sheetViews>
    <sheetView zoomScaleNormal="100" workbookViewId="0"/>
  </sheetViews>
  <sheetFormatPr baseColWidth="10" defaultColWidth="9.140625" defaultRowHeight="12.75" x14ac:dyDescent="0.2"/>
  <cols>
    <col min="1" max="1" width="31.7109375" style="1" customWidth="1"/>
    <col min="2" max="2" width="8.140625" style="1" customWidth="1"/>
    <col min="3" max="4" width="8" style="1" customWidth="1"/>
    <col min="5" max="5" width="7.7109375" style="1" customWidth="1"/>
    <col min="6" max="7" width="7.42578125" style="1" customWidth="1"/>
    <col min="8" max="8" width="7.85546875" style="1" customWidth="1"/>
    <col min="9" max="9" width="8" style="1" customWidth="1"/>
    <col min="10" max="10" width="6.5703125" style="1" customWidth="1"/>
    <col min="11" max="12" width="7.140625" style="1" customWidth="1"/>
    <col min="13" max="13" width="7" style="1" customWidth="1"/>
    <col min="14" max="14" width="7.28515625" style="1" customWidth="1"/>
    <col min="15" max="15" width="7.140625" style="1" customWidth="1"/>
    <col min="16" max="16" width="7.5703125" style="1" customWidth="1"/>
    <col min="17" max="17" width="6.42578125" style="1" customWidth="1"/>
    <col min="18" max="18" width="6.140625" style="1" customWidth="1"/>
    <col min="19" max="19" width="7" style="1" customWidth="1"/>
    <col min="20" max="20" width="6.7109375" style="1" customWidth="1"/>
    <col min="21" max="22" width="6.5703125" style="1" customWidth="1"/>
    <col min="23" max="23" width="7.5703125" style="1" customWidth="1"/>
    <col min="24" max="24" width="8.28515625" style="1" customWidth="1"/>
    <col min="25" max="25" width="8" style="1" customWidth="1"/>
    <col min="26" max="26" width="7.85546875" style="1" customWidth="1"/>
    <col min="27" max="27" width="8.140625" style="1" customWidth="1"/>
    <col min="28" max="256" width="11.42578125" style="1" customWidth="1"/>
    <col min="257" max="16384" width="9.140625" style="1"/>
  </cols>
  <sheetData>
    <row r="1" spans="1:10" ht="15" x14ac:dyDescent="0.25">
      <c r="A1" s="46" t="s">
        <v>31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15" x14ac:dyDescent="0.25">
      <c r="A2" s="45"/>
      <c r="B2" s="39"/>
      <c r="C2" s="39"/>
      <c r="D2" s="39"/>
      <c r="E2" s="39"/>
      <c r="F2" s="39"/>
      <c r="G2" s="39"/>
      <c r="H2" s="39"/>
      <c r="I2" s="39"/>
      <c r="J2" s="39"/>
    </row>
    <row r="3" spans="1:10" ht="15" x14ac:dyDescent="0.25">
      <c r="A3" s="39"/>
      <c r="B3" s="87" t="s">
        <v>69</v>
      </c>
      <c r="C3" s="87"/>
      <c r="D3" s="87"/>
      <c r="E3" s="87"/>
      <c r="F3" s="87"/>
      <c r="G3" s="39"/>
      <c r="H3" s="39"/>
      <c r="I3" s="39"/>
      <c r="J3" s="39"/>
    </row>
    <row r="4" spans="1:10" ht="15" x14ac:dyDescent="0.25">
      <c r="A4" s="59"/>
      <c r="B4" s="60">
        <v>160</v>
      </c>
      <c r="C4" s="60">
        <v>180</v>
      </c>
      <c r="D4" s="60">
        <v>200</v>
      </c>
      <c r="E4" s="60">
        <v>220</v>
      </c>
      <c r="F4" s="60">
        <v>240</v>
      </c>
      <c r="G4" s="39"/>
      <c r="H4" s="39"/>
      <c r="I4" s="39"/>
      <c r="J4" s="39"/>
    </row>
    <row r="5" spans="1:10" ht="15" x14ac:dyDescent="0.25">
      <c r="A5" s="39" t="s">
        <v>67</v>
      </c>
      <c r="B5" s="63">
        <v>180</v>
      </c>
      <c r="C5" s="63">
        <v>280</v>
      </c>
      <c r="D5" s="63">
        <v>380</v>
      </c>
      <c r="E5" s="63">
        <v>480</v>
      </c>
      <c r="F5" s="63">
        <v>580</v>
      </c>
      <c r="G5" s="39"/>
      <c r="H5" s="39"/>
      <c r="I5" s="39"/>
      <c r="J5" s="39"/>
    </row>
    <row r="6" spans="1:10" ht="15.75" thickBot="1" x14ac:dyDescent="0.3">
      <c r="A6" s="61" t="s">
        <v>68</v>
      </c>
      <c r="B6" s="64">
        <f>-1250-PV(3%,5,B5)</f>
        <v>-425.65270630498446</v>
      </c>
      <c r="C6" s="64">
        <f>-1250-PV(3%,5,C5)</f>
        <v>32.318012414468512</v>
      </c>
      <c r="D6" s="64">
        <f>-1250-PV(3%,5,D5)</f>
        <v>490.2887311339216</v>
      </c>
      <c r="E6" s="64">
        <f>-1250-PV(3%,5,E5)</f>
        <v>948.25944985337446</v>
      </c>
      <c r="F6" s="57">
        <f>-1250-PV(3%,5,F5)</f>
        <v>1406.2301685728276</v>
      </c>
      <c r="G6" s="39"/>
      <c r="H6" s="39"/>
      <c r="I6" s="39"/>
      <c r="J6" s="39"/>
    </row>
    <row r="7" spans="1:10" ht="15.75" thickTop="1" x14ac:dyDescent="0.25">
      <c r="A7" s="39"/>
      <c r="B7" s="39"/>
      <c r="C7" s="39"/>
      <c r="D7" s="39"/>
      <c r="E7" s="39"/>
      <c r="F7" s="39"/>
      <c r="G7" s="39"/>
      <c r="H7" s="39"/>
      <c r="I7" s="39"/>
      <c r="J7" s="39"/>
    </row>
    <row r="8" spans="1:10" ht="15" x14ac:dyDescent="0.25">
      <c r="A8" s="39"/>
      <c r="B8" s="39"/>
      <c r="C8" s="39"/>
      <c r="D8" s="39"/>
      <c r="E8" s="39"/>
      <c r="F8" s="39"/>
      <c r="G8" s="39"/>
      <c r="H8" s="39"/>
      <c r="I8" s="39"/>
      <c r="J8" s="39"/>
    </row>
    <row r="9" spans="1:10" ht="15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</row>
    <row r="10" spans="1:10" ht="15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39"/>
    </row>
    <row r="11" spans="1:10" ht="15" x14ac:dyDescent="0.25">
      <c r="A11" s="39"/>
      <c r="B11" s="39"/>
      <c r="C11" s="39"/>
      <c r="D11" s="39"/>
      <c r="E11" s="39"/>
      <c r="F11" s="39"/>
      <c r="G11" s="39"/>
      <c r="H11" s="39"/>
      <c r="I11" s="39"/>
      <c r="J11" s="39"/>
    </row>
    <row r="12" spans="1:10" ht="15" x14ac:dyDescent="0.25">
      <c r="A12" s="39"/>
      <c r="B12" s="39"/>
      <c r="C12" s="39"/>
      <c r="D12" s="39"/>
      <c r="E12" s="39"/>
      <c r="F12" s="39"/>
      <c r="G12" s="39"/>
      <c r="H12" s="39"/>
      <c r="I12" s="39"/>
      <c r="J12" s="39"/>
    </row>
    <row r="13" spans="1:10" ht="15" x14ac:dyDescent="0.25">
      <c r="A13" s="39"/>
      <c r="B13" s="39"/>
      <c r="C13" s="39"/>
      <c r="D13" s="39" t="s">
        <v>0</v>
      </c>
      <c r="E13" s="39"/>
      <c r="F13" s="39"/>
      <c r="G13" s="39"/>
      <c r="H13" s="39"/>
      <c r="I13" s="39"/>
      <c r="J13" s="39"/>
    </row>
    <row r="14" spans="1:10" ht="15" x14ac:dyDescent="0.25">
      <c r="A14" s="39"/>
      <c r="B14" s="39"/>
      <c r="C14" s="39"/>
      <c r="D14" s="39"/>
      <c r="E14" s="39"/>
      <c r="F14" s="39"/>
      <c r="G14" s="39"/>
      <c r="H14" s="39"/>
      <c r="I14" s="39"/>
      <c r="J14" s="39"/>
    </row>
    <row r="15" spans="1:10" ht="15" x14ac:dyDescent="0.25">
      <c r="A15" s="39"/>
      <c r="B15" s="39"/>
      <c r="C15" s="39"/>
      <c r="D15" s="39"/>
      <c r="E15" s="39"/>
      <c r="F15" s="39"/>
      <c r="G15" s="39"/>
      <c r="H15" s="39"/>
      <c r="I15" s="39"/>
      <c r="J15" s="39"/>
    </row>
    <row r="16" spans="1:10" ht="15" x14ac:dyDescent="0.25">
      <c r="A16" s="39"/>
      <c r="B16" s="39"/>
      <c r="C16" s="39"/>
      <c r="D16" s="39"/>
      <c r="E16" s="39"/>
      <c r="F16" s="39"/>
      <c r="G16" s="39"/>
      <c r="H16" s="39"/>
      <c r="I16" s="39"/>
      <c r="J16" s="39"/>
    </row>
    <row r="17" spans="1:10" ht="15" x14ac:dyDescent="0.25">
      <c r="A17" s="39"/>
      <c r="B17" s="39"/>
      <c r="C17" s="39"/>
      <c r="D17" s="39"/>
      <c r="E17" s="39"/>
      <c r="F17" s="39"/>
      <c r="G17" s="39"/>
      <c r="H17" s="39"/>
      <c r="I17" s="39"/>
      <c r="J17" s="39"/>
    </row>
    <row r="18" spans="1:10" ht="15" x14ac:dyDescent="0.25">
      <c r="A18" s="39"/>
      <c r="B18" s="39"/>
      <c r="C18" s="39"/>
      <c r="D18" s="39"/>
      <c r="E18" s="39"/>
      <c r="F18" s="39"/>
      <c r="G18" s="39"/>
      <c r="H18" s="39"/>
      <c r="I18" s="39"/>
      <c r="J18" s="39"/>
    </row>
    <row r="19" spans="1:10" ht="15" x14ac:dyDescent="0.25">
      <c r="A19" s="39"/>
      <c r="B19" s="39"/>
      <c r="C19" s="39"/>
      <c r="D19" s="39"/>
      <c r="E19" s="39"/>
      <c r="F19" s="39"/>
      <c r="G19" s="39"/>
      <c r="H19" s="39"/>
      <c r="I19" s="39"/>
      <c r="J19" s="39"/>
    </row>
    <row r="20" spans="1:10" ht="15" x14ac:dyDescent="0.25">
      <c r="A20" s="39"/>
      <c r="B20" s="39"/>
      <c r="C20" s="39"/>
      <c r="D20" s="39"/>
      <c r="E20" s="39"/>
      <c r="F20" s="39"/>
      <c r="G20" s="39"/>
      <c r="H20" s="39"/>
      <c r="I20" s="39"/>
      <c r="J20" s="39"/>
    </row>
    <row r="21" spans="1:10" ht="15" x14ac:dyDescent="0.25">
      <c r="A21" s="39"/>
      <c r="B21" s="39"/>
      <c r="C21" s="39"/>
      <c r="D21" s="39"/>
      <c r="E21" s="39"/>
      <c r="F21" s="39"/>
      <c r="G21" s="39"/>
      <c r="H21" s="39"/>
      <c r="I21" s="39"/>
      <c r="J21" s="39"/>
    </row>
    <row r="22" spans="1:10" ht="15" x14ac:dyDescent="0.25">
      <c r="A22" s="39"/>
      <c r="B22" s="39"/>
      <c r="C22" s="39"/>
      <c r="D22" s="39"/>
      <c r="E22" s="39"/>
      <c r="F22" s="39"/>
      <c r="G22" s="39"/>
      <c r="H22" s="39"/>
      <c r="I22" s="39"/>
      <c r="J22" s="39"/>
    </row>
    <row r="23" spans="1:10" ht="15" x14ac:dyDescent="0.25">
      <c r="A23" s="39"/>
      <c r="B23" s="39"/>
      <c r="C23" s="39"/>
      <c r="D23" s="39"/>
      <c r="E23" s="39"/>
      <c r="F23" s="39"/>
      <c r="G23" s="39"/>
      <c r="H23" s="39"/>
      <c r="I23" s="39"/>
      <c r="J23" s="39"/>
    </row>
    <row r="24" spans="1:10" ht="15" x14ac:dyDescent="0.25">
      <c r="A24" s="39"/>
      <c r="B24" s="39"/>
      <c r="C24" s="39"/>
      <c r="D24" s="39"/>
      <c r="E24" s="39"/>
      <c r="F24" s="39"/>
      <c r="G24" s="39"/>
      <c r="H24" s="39"/>
      <c r="I24" s="39"/>
      <c r="J24" s="39"/>
    </row>
    <row r="25" spans="1:10" ht="15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39"/>
    </row>
    <row r="26" spans="1:10" ht="15" x14ac:dyDescent="0.25">
      <c r="A26" s="39"/>
      <c r="B26" s="39"/>
      <c r="C26" s="39"/>
      <c r="D26" s="39"/>
      <c r="E26" s="39"/>
      <c r="F26" s="39"/>
      <c r="G26" s="39"/>
      <c r="H26" s="39"/>
      <c r="I26" s="39"/>
      <c r="J26" s="39"/>
    </row>
    <row r="27" spans="1:10" ht="15" x14ac:dyDescent="0.25">
      <c r="A27" s="39"/>
      <c r="B27" s="39"/>
      <c r="C27" s="39"/>
      <c r="D27" s="39"/>
      <c r="E27" s="39"/>
      <c r="F27" s="39"/>
      <c r="G27" s="39"/>
      <c r="H27" s="39"/>
      <c r="I27" s="39"/>
      <c r="J27" s="39"/>
    </row>
    <row r="28" spans="1:10" ht="15" x14ac:dyDescent="0.25">
      <c r="A28" s="39"/>
      <c r="B28" s="39"/>
      <c r="C28" s="39"/>
      <c r="D28" s="39"/>
      <c r="E28" s="39"/>
      <c r="F28" s="39"/>
      <c r="G28" s="39"/>
      <c r="H28" s="39"/>
      <c r="I28" s="39"/>
      <c r="J28" s="39"/>
    </row>
    <row r="29" spans="1:10" ht="15" x14ac:dyDescent="0.25">
      <c r="A29" s="39"/>
      <c r="B29" s="39"/>
      <c r="C29" s="39"/>
      <c r="D29" s="39"/>
      <c r="E29" s="39"/>
      <c r="F29" s="39"/>
      <c r="G29" s="39"/>
      <c r="H29" s="39"/>
      <c r="I29" s="39"/>
      <c r="J29" s="39"/>
    </row>
    <row r="30" spans="1:10" ht="15" x14ac:dyDescent="0.25">
      <c r="A30" s="39"/>
      <c r="B30" s="39"/>
      <c r="C30" s="39"/>
      <c r="D30" s="39"/>
      <c r="E30" s="39" t="s">
        <v>0</v>
      </c>
      <c r="F30" s="39"/>
      <c r="G30" s="39"/>
      <c r="H30" s="39"/>
      <c r="I30" s="39"/>
      <c r="J30" s="39"/>
    </row>
    <row r="31" spans="1:10" ht="15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39"/>
    </row>
  </sheetData>
  <mergeCells count="1">
    <mergeCell ref="B3:F3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3"/>
  <sheetViews>
    <sheetView zoomScaleNormal="100" workbookViewId="0">
      <selection activeCell="H19" sqref="H19"/>
    </sheetView>
  </sheetViews>
  <sheetFormatPr baseColWidth="10" defaultColWidth="9.140625" defaultRowHeight="12.75" x14ac:dyDescent="0.2"/>
  <cols>
    <col min="1" max="1" width="30.42578125" style="1" customWidth="1"/>
    <col min="2" max="256" width="11.42578125" style="1" customWidth="1"/>
    <col min="257" max="16384" width="9.140625" style="1"/>
  </cols>
  <sheetData>
    <row r="1" spans="1:6" ht="15" x14ac:dyDescent="0.25">
      <c r="A1" s="46" t="s">
        <v>31</v>
      </c>
      <c r="B1" s="39"/>
      <c r="C1" s="39"/>
      <c r="D1" s="39"/>
      <c r="E1" s="39"/>
      <c r="F1" s="39"/>
    </row>
    <row r="2" spans="1:6" ht="15" x14ac:dyDescent="0.25">
      <c r="A2" s="39"/>
      <c r="B2" s="39"/>
      <c r="C2" s="39"/>
      <c r="D2" s="39"/>
      <c r="E2" s="39"/>
      <c r="F2" s="39"/>
    </row>
    <row r="3" spans="1:6" ht="15" x14ac:dyDescent="0.25">
      <c r="A3" s="39"/>
      <c r="B3" s="87" t="s">
        <v>69</v>
      </c>
      <c r="C3" s="87"/>
      <c r="D3" s="87"/>
      <c r="E3" s="87"/>
      <c r="F3" s="87"/>
    </row>
    <row r="4" spans="1:6" ht="15" x14ac:dyDescent="0.25">
      <c r="A4" s="59"/>
      <c r="B4" s="60">
        <v>160</v>
      </c>
      <c r="C4" s="60">
        <v>180</v>
      </c>
      <c r="D4" s="60">
        <v>200</v>
      </c>
      <c r="E4" s="60">
        <v>220</v>
      </c>
      <c r="F4" s="60">
        <v>240</v>
      </c>
    </row>
    <row r="5" spans="1:6" ht="15" x14ac:dyDescent="0.25">
      <c r="A5" s="39" t="s">
        <v>67</v>
      </c>
      <c r="B5" s="41">
        <v>180</v>
      </c>
      <c r="C5" s="41">
        <v>280</v>
      </c>
      <c r="D5" s="41">
        <v>380</v>
      </c>
      <c r="E5" s="41">
        <v>480</v>
      </c>
      <c r="F5" s="41">
        <v>580</v>
      </c>
    </row>
    <row r="6" spans="1:6" ht="15.75" thickBot="1" x14ac:dyDescent="0.3">
      <c r="A6" s="61" t="s">
        <v>3</v>
      </c>
      <c r="B6" s="62">
        <f>RATE(5,B5,-1250)</f>
        <v>-0.10037792351994493</v>
      </c>
      <c r="C6" s="62">
        <f>RATE(5,C5,-1250)</f>
        <v>3.9005620227034375E-2</v>
      </c>
      <c r="D6" s="62">
        <f>RATE(5,D5,-1250)</f>
        <v>0.15802006926301718</v>
      </c>
      <c r="E6" s="62">
        <f>RATE(5,E5,-1250)</f>
        <v>0.2658570040678398</v>
      </c>
      <c r="F6" s="62">
        <f>RATE(5,F5,-1250)</f>
        <v>0.3666863729364323</v>
      </c>
    </row>
    <row r="7" spans="1:6" ht="15.75" thickTop="1" x14ac:dyDescent="0.25">
      <c r="A7" s="39"/>
      <c r="B7" s="39"/>
      <c r="C7" s="39"/>
      <c r="D7" s="39"/>
      <c r="E7" s="39"/>
      <c r="F7" s="39"/>
    </row>
    <row r="8" spans="1:6" ht="15" x14ac:dyDescent="0.25">
      <c r="A8" s="39"/>
      <c r="B8" s="39"/>
      <c r="C8" s="39"/>
      <c r="D8" s="39"/>
      <c r="E8" s="39"/>
      <c r="F8" s="39"/>
    </row>
    <row r="9" spans="1:6" ht="15" x14ac:dyDescent="0.25">
      <c r="A9" s="39"/>
      <c r="B9" s="39"/>
      <c r="C9" s="39"/>
      <c r="D9" s="39"/>
      <c r="E9" s="39"/>
      <c r="F9" s="39"/>
    </row>
    <row r="10" spans="1:6" ht="15" x14ac:dyDescent="0.25">
      <c r="A10" s="39"/>
      <c r="B10" s="39"/>
      <c r="C10" s="39"/>
      <c r="D10" s="39"/>
      <c r="E10" s="39"/>
      <c r="F10" s="39"/>
    </row>
    <row r="11" spans="1:6" ht="15" x14ac:dyDescent="0.25">
      <c r="A11" s="39"/>
      <c r="B11" s="39"/>
      <c r="C11" s="39"/>
      <c r="D11" s="39"/>
      <c r="E11" s="39"/>
      <c r="F11" s="39"/>
    </row>
    <row r="12" spans="1:6" ht="15" x14ac:dyDescent="0.25">
      <c r="A12" s="39"/>
      <c r="B12" s="39"/>
      <c r="C12" s="39"/>
      <c r="D12" s="39"/>
      <c r="E12" s="39"/>
      <c r="F12" s="39"/>
    </row>
    <row r="13" spans="1:6" ht="15" x14ac:dyDescent="0.25">
      <c r="A13" s="39"/>
      <c r="B13" s="39"/>
      <c r="C13" s="39"/>
      <c r="D13" s="39"/>
      <c r="E13" s="39"/>
      <c r="F13" s="39"/>
    </row>
  </sheetData>
  <mergeCells count="1">
    <mergeCell ref="B3:F3"/>
  </mergeCells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4"/>
  <sheetViews>
    <sheetView zoomScaleNormal="100" workbookViewId="0">
      <selection activeCell="I18" sqref="I18"/>
    </sheetView>
  </sheetViews>
  <sheetFormatPr baseColWidth="10" defaultColWidth="9.140625" defaultRowHeight="12.75" x14ac:dyDescent="0.2"/>
  <cols>
    <col min="1" max="1" width="18.42578125" style="1" customWidth="1"/>
    <col min="2" max="256" width="11.42578125" style="1" customWidth="1"/>
    <col min="257" max="16384" width="9.140625" style="1"/>
  </cols>
  <sheetData>
    <row r="1" spans="1:6" ht="15" x14ac:dyDescent="0.25">
      <c r="A1" s="46" t="s">
        <v>31</v>
      </c>
    </row>
    <row r="2" spans="1:6" ht="14.25" x14ac:dyDescent="0.2">
      <c r="A2" s="45"/>
    </row>
    <row r="3" spans="1:6" ht="15" x14ac:dyDescent="0.25">
      <c r="A3" s="46" t="s">
        <v>58</v>
      </c>
      <c r="B3" s="41">
        <v>1250</v>
      </c>
      <c r="C3" s="39"/>
      <c r="D3" s="39"/>
      <c r="E3" s="39"/>
      <c r="F3" s="39"/>
    </row>
    <row r="4" spans="1:6" ht="15" x14ac:dyDescent="0.25">
      <c r="A4" s="46" t="s">
        <v>30</v>
      </c>
      <c r="B4" s="41">
        <v>5</v>
      </c>
      <c r="C4" s="39"/>
      <c r="D4" s="39"/>
      <c r="E4" s="39"/>
      <c r="F4" s="39"/>
    </row>
    <row r="5" spans="1:6" ht="15" x14ac:dyDescent="0.25">
      <c r="A5" s="39" t="s">
        <v>36</v>
      </c>
      <c r="B5" s="65">
        <v>0.03</v>
      </c>
      <c r="C5" s="39"/>
      <c r="D5" s="39"/>
      <c r="E5" s="39"/>
      <c r="F5" s="39"/>
    </row>
    <row r="6" spans="1:6" ht="15" x14ac:dyDescent="0.25">
      <c r="A6" s="39"/>
      <c r="B6" s="87" t="s">
        <v>53</v>
      </c>
      <c r="C6" s="87"/>
      <c r="D6" s="87"/>
      <c r="E6" s="87"/>
      <c r="F6" s="87"/>
    </row>
    <row r="7" spans="1:6" ht="15" x14ac:dyDescent="0.25">
      <c r="A7" s="59"/>
      <c r="B7" s="60">
        <v>160</v>
      </c>
      <c r="C7" s="60">
        <v>180</v>
      </c>
      <c r="D7" s="60">
        <v>200</v>
      </c>
      <c r="E7" s="60">
        <v>220</v>
      </c>
      <c r="F7" s="60">
        <v>240</v>
      </c>
    </row>
    <row r="8" spans="1:6" ht="15" x14ac:dyDescent="0.25">
      <c r="A8" s="39" t="s">
        <v>19</v>
      </c>
      <c r="B8" s="66">
        <v>-0.2</v>
      </c>
      <c r="C8" s="66">
        <v>-0.1</v>
      </c>
      <c r="D8" s="66">
        <v>0</v>
      </c>
      <c r="E8" s="66">
        <v>0.1</v>
      </c>
      <c r="F8" s="66">
        <v>0.2</v>
      </c>
    </row>
    <row r="9" spans="1:6" ht="15" x14ac:dyDescent="0.25">
      <c r="A9" s="39" t="s">
        <v>17</v>
      </c>
      <c r="B9" s="41">
        <v>180</v>
      </c>
      <c r="C9" s="41">
        <v>280</v>
      </c>
      <c r="D9" s="41">
        <v>380</v>
      </c>
      <c r="E9" s="41">
        <v>480</v>
      </c>
      <c r="F9" s="41">
        <v>580</v>
      </c>
    </row>
    <row r="10" spans="1:6" ht="15.75" thickBot="1" x14ac:dyDescent="0.3">
      <c r="A10" s="61" t="s">
        <v>54</v>
      </c>
      <c r="B10" s="67">
        <f>- $B$3- PV($B$5,$B$4,B9)</f>
        <v>-425.65270630498446</v>
      </c>
      <c r="C10" s="67">
        <f>- $B$3- PV($B$5,$B$4,C9)</f>
        <v>32.318012414468512</v>
      </c>
      <c r="D10" s="67">
        <f>- $B$3- PV($B$5,$B$4,D9)</f>
        <v>490.2887311339216</v>
      </c>
      <c r="E10" s="67">
        <f>- $B$3- PV($B$5,$B$4,E9)</f>
        <v>948.25944985337446</v>
      </c>
      <c r="F10" s="67">
        <f>- $B$3- PV($B$5,$B$4,F9)</f>
        <v>1406.2301685728276</v>
      </c>
    </row>
    <row r="11" spans="1:6" ht="13.5" thickTop="1" x14ac:dyDescent="0.2"/>
    <row r="17" spans="10:10" x14ac:dyDescent="0.2">
      <c r="J17" s="1" t="s">
        <v>0</v>
      </c>
    </row>
    <row r="34" spans="2:6" x14ac:dyDescent="0.2">
      <c r="B34" s="1">
        <f>B8*100</f>
        <v>-20</v>
      </c>
      <c r="C34" s="1">
        <f>C8*100</f>
        <v>-10</v>
      </c>
      <c r="D34" s="1">
        <f>D8*100</f>
        <v>0</v>
      </c>
      <c r="E34" s="1">
        <f>E8*100</f>
        <v>10</v>
      </c>
      <c r="F34" s="1">
        <f>F8*100</f>
        <v>20</v>
      </c>
    </row>
  </sheetData>
  <mergeCells count="1">
    <mergeCell ref="B6:F6"/>
  </mergeCells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4"/>
  <sheetViews>
    <sheetView topLeftCell="A19" zoomScaleNormal="100" workbookViewId="0"/>
  </sheetViews>
  <sheetFormatPr baseColWidth="10" defaultColWidth="9.140625" defaultRowHeight="12.75" x14ac:dyDescent="0.2"/>
  <cols>
    <col min="1" max="1" width="29" style="1" customWidth="1"/>
    <col min="2" max="3" width="11.42578125" style="1" customWidth="1"/>
    <col min="4" max="4" width="12.28515625" style="1" customWidth="1"/>
    <col min="5" max="6" width="11.42578125" style="1" customWidth="1"/>
    <col min="7" max="7" width="11" style="1" customWidth="1"/>
    <col min="8" max="256" width="11.42578125" style="1" customWidth="1"/>
    <col min="257" max="16384" width="9.140625" style="1"/>
  </cols>
  <sheetData>
    <row r="1" spans="1:9" ht="15" x14ac:dyDescent="0.25">
      <c r="A1" s="46" t="s">
        <v>31</v>
      </c>
    </row>
    <row r="2" spans="1:9" ht="15" x14ac:dyDescent="0.25">
      <c r="A2" s="39"/>
      <c r="B2" s="39"/>
      <c r="C2" s="39"/>
      <c r="D2" s="39"/>
      <c r="E2" s="39"/>
      <c r="F2" s="39"/>
      <c r="G2" s="39"/>
      <c r="H2" s="39"/>
      <c r="I2" s="39"/>
    </row>
    <row r="3" spans="1:9" ht="15" x14ac:dyDescent="0.25">
      <c r="A3" s="59" t="s">
        <v>20</v>
      </c>
      <c r="B3" s="59"/>
      <c r="C3" s="69" t="s">
        <v>23</v>
      </c>
      <c r="D3" s="69" t="s">
        <v>24</v>
      </c>
      <c r="E3" s="69" t="s">
        <v>26</v>
      </c>
      <c r="F3" s="69" t="s">
        <v>28</v>
      </c>
      <c r="G3" s="69" t="s">
        <v>27</v>
      </c>
      <c r="H3" s="69" t="s">
        <v>29</v>
      </c>
      <c r="I3" s="69" t="s">
        <v>30</v>
      </c>
    </row>
    <row r="4" spans="1:9" ht="15" x14ac:dyDescent="0.25">
      <c r="A4" s="39" t="s">
        <v>21</v>
      </c>
      <c r="B4" s="48">
        <v>200</v>
      </c>
      <c r="C4" s="39">
        <f>1-2*B12</f>
        <v>0.6</v>
      </c>
      <c r="D4" s="70">
        <f>C4-1</f>
        <v>-0.4</v>
      </c>
      <c r="E4" s="47">
        <f>($B$9-PV($B$10,$B$11,($B$4*C4-$B$5)*$B$6-$B$7))</f>
        <v>-1341.5941437438905</v>
      </c>
      <c r="F4" s="47">
        <f>($B$9-PV($B$10,$B$11,($B$4-$B$5*C4)*$B$6-$B$7))</f>
        <v>1406.2301685728276</v>
      </c>
      <c r="G4" s="47">
        <f>($B$9-PV($B$10,$B$11,($B$4-$B$5)*$B$6*C4-$B$7))</f>
        <v>-425.65270630498446</v>
      </c>
      <c r="H4" s="47">
        <f>($B$9-PV($B$10,$B$11,($B$4-$B$5)*$B$6-$B$7*C4))</f>
        <v>710.114676119259</v>
      </c>
      <c r="I4" s="47">
        <f>($B$9-PV($B$10,$B$11*C4,($B$4-$B$5)*$B$6-$B$7))</f>
        <v>-175.12768514002119</v>
      </c>
    </row>
    <row r="5" spans="1:9" ht="15" x14ac:dyDescent="0.25">
      <c r="A5" s="39" t="s">
        <v>60</v>
      </c>
      <c r="B5" s="48">
        <v>100</v>
      </c>
      <c r="C5" s="39">
        <f>1-B12</f>
        <v>0.8</v>
      </c>
      <c r="D5" s="70">
        <f>C5-1</f>
        <v>-0.19999999999999996</v>
      </c>
      <c r="E5" s="47">
        <f>($B$9-PV($B$10,$B$11,($B$4*C5-$B$5)*$B$6-$B$7))</f>
        <v>-425.65270630498446</v>
      </c>
      <c r="F5" s="47">
        <f>($B$9-PV($B$10,$B$11,($B$4-$B$5*C5)*$B$6-$B$7))</f>
        <v>948.25944985337446</v>
      </c>
      <c r="G5" s="47">
        <f>($B$9-PV($B$10,$B$11,($B$4-$B$5)*$B$6*C5-$B$7))</f>
        <v>32.318012414468512</v>
      </c>
      <c r="H5" s="47">
        <f>($B$9-PV($B$10,$B$11,($B$4-$B$5)*$B$6-$B$7*C5))</f>
        <v>600.20170362659019</v>
      </c>
      <c r="I5" s="47">
        <f>($B$9-PV($B$10,$B$11*C5,($B$4-$B$5)*$B$6-$B$7))</f>
        <v>162.49739306793981</v>
      </c>
    </row>
    <row r="6" spans="1:9" ht="15" x14ac:dyDescent="0.25">
      <c r="A6" s="39" t="s">
        <v>22</v>
      </c>
      <c r="B6" s="48">
        <v>5</v>
      </c>
      <c r="C6" s="39">
        <v>1</v>
      </c>
      <c r="D6" s="70">
        <f>C6-1</f>
        <v>0</v>
      </c>
      <c r="E6" s="47">
        <f>($B$9-PV($B$10,$B$11,($B$4*C6-$B$5)*$B$6-$B$7))</f>
        <v>490.2887311339216</v>
      </c>
      <c r="F6" s="47">
        <f>($B$9-PV($B$10,$B$11,($B$4-$B$5*C6)*$B$6-$B$7))</f>
        <v>490.2887311339216</v>
      </c>
      <c r="G6" s="47">
        <f>($B$9-PV($B$10,$B$11,($B$4-$B$5)*$B$6*C6-$B$7))</f>
        <v>490.2887311339216</v>
      </c>
      <c r="H6" s="47">
        <f>($B$9-PV($B$10,$B$11,($B$4-$B$5)*$B$6-$B$7*C6))</f>
        <v>490.2887311339216</v>
      </c>
      <c r="I6" s="47">
        <f>($B$9-PV($B$10,$B$11*C6,($B$4-$B$5)*$B$6-$B$7))</f>
        <v>490.2887311339216</v>
      </c>
    </row>
    <row r="7" spans="1:9" ht="15" x14ac:dyDescent="0.25">
      <c r="A7" s="39" t="s">
        <v>62</v>
      </c>
      <c r="B7" s="48">
        <v>120</v>
      </c>
      <c r="C7" s="39">
        <f>1+B12</f>
        <v>1.2</v>
      </c>
      <c r="D7" s="70">
        <f>C7-1</f>
        <v>0.19999999999999996</v>
      </c>
      <c r="E7" s="47">
        <f>($B$9-PV($B$10,$B$11,($B$4*C7-$B$5)*$B$6-$B$7))</f>
        <v>1406.2301685728276</v>
      </c>
      <c r="F7" s="47">
        <f>($B$9-PV($B$10,$B$11,($B$4-$B$5*C7)*$B$6-$B$7))</f>
        <v>32.318012414468512</v>
      </c>
      <c r="G7" s="47">
        <f>($B$9-PV($B$10,$B$11,($B$4-$B$5)*$B$6*C7-$B$7))</f>
        <v>948.25944985337446</v>
      </c>
      <c r="H7" s="47">
        <f>($B$9-PV($B$10,$B$11,($B$4-$B$5)*$B$6-$B$7*C7))</f>
        <v>380.37575864125279</v>
      </c>
      <c r="I7" s="47">
        <f>($B$9-PV($B$10,$B$11*C7,($B$4-$B$5)*$B$6-$B$7))</f>
        <v>808.53274867371101</v>
      </c>
    </row>
    <row r="8" spans="1:9" ht="15" x14ac:dyDescent="0.25">
      <c r="A8" s="39" t="s">
        <v>63</v>
      </c>
      <c r="B8" s="47">
        <f>(B4-B5)*B6-B7</f>
        <v>380</v>
      </c>
      <c r="C8" s="39">
        <f>1+2*B12</f>
        <v>1.4</v>
      </c>
      <c r="D8" s="70">
        <f>C8-1</f>
        <v>0.39999999999999991</v>
      </c>
      <c r="E8" s="47">
        <f>($B$9-PV($B$10,$B$11,($B$4*C8-$B$5)*$B$6-$B$7))</f>
        <v>2322.1716060117337</v>
      </c>
      <c r="F8" s="47">
        <f>($B$9-PV($B$10,$B$11,($B$4-$B$5*C8)*$B$6-$B$7))</f>
        <v>-425.65270630498446</v>
      </c>
      <c r="G8" s="47">
        <f>($B$9-PV($B$10,$B$11,($B$4-$B$5)*$B$6*C8-$B$7))</f>
        <v>1406.2301685728276</v>
      </c>
      <c r="H8" s="47">
        <f>($B$9-PV($B$10,$B$11,($B$4-$B$5)*$B$6-$B$7*C8))</f>
        <v>270.4627861485842</v>
      </c>
      <c r="I8" s="47">
        <f>($B$9-PV($B$10,$B$11*C8,($B$4-$B$5)*$B$6-$B$7))</f>
        <v>1117.5075229841855</v>
      </c>
    </row>
    <row r="9" spans="1:9" ht="15" x14ac:dyDescent="0.25">
      <c r="A9" s="39" t="s">
        <v>64</v>
      </c>
      <c r="B9" s="48">
        <v>-1250</v>
      </c>
      <c r="C9" s="39"/>
      <c r="D9" s="39"/>
      <c r="E9" s="39"/>
      <c r="F9" s="39"/>
      <c r="G9" s="39"/>
      <c r="H9" s="39"/>
      <c r="I9" s="39"/>
    </row>
    <row r="10" spans="1:9" ht="15" x14ac:dyDescent="0.25">
      <c r="A10" s="39" t="s">
        <v>59</v>
      </c>
      <c r="B10" s="65">
        <v>0.03</v>
      </c>
      <c r="C10" s="39"/>
      <c r="D10" s="39"/>
      <c r="E10" s="39"/>
      <c r="F10" s="39"/>
      <c r="G10" s="39"/>
      <c r="H10" s="39"/>
      <c r="I10" s="39"/>
    </row>
    <row r="11" spans="1:9" ht="15" x14ac:dyDescent="0.25">
      <c r="A11" s="39" t="s">
        <v>61</v>
      </c>
      <c r="B11" s="48">
        <v>5</v>
      </c>
      <c r="C11" s="39"/>
      <c r="D11" s="39"/>
      <c r="E11" s="39"/>
      <c r="F11" s="39"/>
      <c r="G11" s="39"/>
      <c r="H11" s="39"/>
      <c r="I11" s="39"/>
    </row>
    <row r="12" spans="1:9" ht="15" x14ac:dyDescent="0.25">
      <c r="A12" s="68" t="s">
        <v>25</v>
      </c>
      <c r="B12" s="40">
        <v>0.2</v>
      </c>
      <c r="C12" s="39"/>
      <c r="D12" s="39"/>
      <c r="E12" s="39"/>
      <c r="F12" s="39"/>
      <c r="G12" s="39"/>
      <c r="H12" s="39"/>
      <c r="I12" s="39"/>
    </row>
    <row r="13" spans="1:9" ht="15.75" thickBot="1" x14ac:dyDescent="0.3">
      <c r="A13" s="61" t="s">
        <v>65</v>
      </c>
      <c r="B13" s="57">
        <f>($B$9-PV($B$10,$B$11,($B$4-$B$5)*$B$6-$B$7))</f>
        <v>490.2887311339216</v>
      </c>
      <c r="C13" s="61"/>
      <c r="D13" s="61"/>
      <c r="E13" s="61"/>
      <c r="F13" s="61"/>
      <c r="G13" s="61"/>
      <c r="H13" s="61"/>
      <c r="I13" s="61"/>
    </row>
    <row r="14" spans="1:9" ht="13.5" thickTop="1" x14ac:dyDescent="0.2"/>
  </sheetData>
  <phoneticPr fontId="2" type="noConversion"/>
  <pageMargins left="0.75" right="0.75" top="1" bottom="1" header="0.5" footer="0.5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Tabell 6.2</vt:lpstr>
      <vt:lpstr>Tabell 6.3</vt:lpstr>
      <vt:lpstr>Tabell 6.4</vt:lpstr>
      <vt:lpstr>Tabell 6.5</vt:lpstr>
      <vt:lpstr>Figur 6.1</vt:lpstr>
      <vt:lpstr>Figur 6.2</vt:lpstr>
      <vt:lpstr>Figur 6.3</vt:lpstr>
      <vt:lpstr>Figur 6.4</vt:lpstr>
      <vt:lpstr>Figur 6.5</vt:lpstr>
      <vt:lpstr>Figur 6.6</vt:lpstr>
    </vt:vector>
  </TitlesOfParts>
  <Company>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Bøhren</dc:creator>
  <cp:lastModifiedBy>Malgorzata Golinska</cp:lastModifiedBy>
  <cp:lastPrinted>2008-07-02T13:37:10Z</cp:lastPrinted>
  <dcterms:created xsi:type="dcterms:W3CDTF">2007-01-01T19:46:20Z</dcterms:created>
  <dcterms:modified xsi:type="dcterms:W3CDTF">2020-01-22T13:29:21Z</dcterms:modified>
</cp:coreProperties>
</file>