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defaultThemeVersion="124226"/>
  <mc:AlternateContent xmlns:mc="http://schemas.openxmlformats.org/markup-compatibility/2006">
    <mc:Choice Requires="x15">
      <x15ac:absPath xmlns:x15ac="http://schemas.microsoft.com/office/spreadsheetml/2010/11/ac" url="C:\Users\malgorzatag\Documents\_PROSJEKTER\_DIGITALE\finans innføring i investering\2019_rettelser for kopi\Kap_2\FIF_2019_Nettside_Kap2_Regneark_for_Bok\"/>
    </mc:Choice>
  </mc:AlternateContent>
  <xr:revisionPtr revIDLastSave="0" documentId="8_{B62DEED9-6E0F-4B48-808E-1008C66E3FA4}" xr6:coauthVersionLast="45" xr6:coauthVersionMax="45" xr10:uidLastSave="{00000000-0000-0000-0000-000000000000}"/>
  <bookViews>
    <workbookView xWindow="510" yWindow="270" windowWidth="23415" windowHeight="15225" xr2:uid="{00000000-000D-0000-FFFF-FFFF00000000}"/>
  </bookViews>
  <sheets>
    <sheet name=" Tabell 2.1 og Figur 2.2" sheetId="19" r:id="rId1"/>
    <sheet name="Tabell 2.4 og 2.5" sheetId="10" r:id="rId2"/>
    <sheet name="Tabell 2.6" sheetId="3" r:id="rId3"/>
    <sheet name="Tabell 2.7" sheetId="7" r:id="rId4"/>
    <sheet name="Tabell 2.8" sheetId="6" r:id="rId5"/>
    <sheet name="Tabell 2.9" sheetId="12" r:id="rId6"/>
    <sheet name="Tabell 2.10" sheetId="5" r:id="rId7"/>
    <sheet name="Tabell 2.11"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 i="8" l="1"/>
  <c r="D8" i="8"/>
  <c r="A5" i="8"/>
  <c r="A6" i="8"/>
  <c r="A7" i="8"/>
  <c r="A8" i="8"/>
  <c r="A4" i="8"/>
  <c r="A10" i="7"/>
  <c r="A11" i="7"/>
  <c r="A9" i="7"/>
  <c r="A8" i="7"/>
  <c r="A7" i="7"/>
  <c r="B6" i="3"/>
  <c r="C6" i="3" s="1"/>
  <c r="D6" i="3" s="1"/>
  <c r="E6" i="3" s="1"/>
  <c r="L6" i="10"/>
  <c r="E5" i="7" s="1"/>
  <c r="K6" i="10"/>
  <c r="D5" i="7" s="1"/>
  <c r="J6" i="10"/>
  <c r="C5" i="7" s="1"/>
  <c r="L12" i="10" l="1"/>
  <c r="L7" i="10"/>
  <c r="E6" i="7" s="1"/>
  <c r="K7" i="10"/>
  <c r="D6" i="7" s="1"/>
  <c r="J2" i="10"/>
  <c r="C2" i="5"/>
  <c r="B2" i="6"/>
  <c r="B4" i="3"/>
  <c r="B3" i="3"/>
  <c r="B2" i="3"/>
  <c r="B2" i="12" l="1"/>
  <c r="B6" i="12" s="1"/>
  <c r="E8" i="8"/>
  <c r="E11" i="7"/>
  <c r="C28" i="19"/>
  <c r="D28" i="19"/>
  <c r="E28" i="19"/>
  <c r="F28" i="19"/>
  <c r="G28" i="19"/>
  <c r="H28" i="19"/>
  <c r="I28" i="19"/>
  <c r="B28" i="19"/>
  <c r="A13" i="5" l="1"/>
  <c r="C11" i="5"/>
  <c r="D11" i="5"/>
  <c r="E11" i="5"/>
  <c r="A12" i="5"/>
  <c r="A5" i="7"/>
  <c r="A6" i="7"/>
  <c r="A4" i="7"/>
  <c r="A6" i="5"/>
  <c r="A7" i="5"/>
  <c r="A8" i="5"/>
  <c r="A9" i="5"/>
  <c r="A5" i="5"/>
  <c r="E32" i="10"/>
  <c r="C31" i="10"/>
  <c r="B33" i="10" s="1"/>
  <c r="I11" i="10" s="1"/>
  <c r="B30" i="10"/>
  <c r="C30" i="10" s="1"/>
  <c r="B26" i="10"/>
  <c r="E16" i="10"/>
  <c r="E15" i="10"/>
  <c r="E14" i="10"/>
  <c r="C9" i="10"/>
  <c r="D9" i="10" s="1"/>
  <c r="B6" i="10"/>
  <c r="J7" i="10"/>
  <c r="C6" i="7" s="1"/>
  <c r="J5" i="10"/>
  <c r="C4" i="7" s="1"/>
  <c r="B2" i="8"/>
  <c r="E8" i="3"/>
  <c r="E12" i="5" s="1"/>
  <c r="D8" i="3"/>
  <c r="D12" i="5" s="1"/>
  <c r="C8" i="3"/>
  <c r="C12" i="5" s="1"/>
  <c r="B7" i="3"/>
  <c r="B9" i="3" s="1"/>
  <c r="A7" i="3"/>
  <c r="A11" i="5" s="1"/>
  <c r="I12" i="10" l="1"/>
  <c r="B3" i="12"/>
  <c r="B5" i="6"/>
  <c r="B10" i="7"/>
  <c r="B7" i="8"/>
  <c r="I4" i="10"/>
  <c r="E20" i="10"/>
  <c r="J9" i="10" s="1"/>
  <c r="B11" i="3"/>
  <c r="B13" i="7" s="1"/>
  <c r="C10" i="3"/>
  <c r="C11" i="3" s="1"/>
  <c r="C13" i="7" s="1"/>
  <c r="C9" i="3"/>
  <c r="D9" i="3" s="1"/>
  <c r="E9" i="3" s="1"/>
  <c r="B11" i="5"/>
  <c r="J8" i="10"/>
  <c r="B32" i="10"/>
  <c r="J4" i="10"/>
  <c r="C3" i="7" s="1"/>
  <c r="D30" i="10"/>
  <c r="B4" i="5" l="1"/>
  <c r="B3" i="7"/>
  <c r="B3" i="8"/>
  <c r="B8" i="8"/>
  <c r="B11" i="7"/>
  <c r="I13" i="10"/>
  <c r="B12" i="7" s="1"/>
  <c r="C5" i="8"/>
  <c r="K9" i="10"/>
  <c r="C8" i="7"/>
  <c r="C6" i="5" s="1"/>
  <c r="C4" i="8"/>
  <c r="C7" i="7"/>
  <c r="C3" i="12"/>
  <c r="B9" i="5"/>
  <c r="B6" i="6"/>
  <c r="E10" i="3"/>
  <c r="E11" i="3" s="1"/>
  <c r="E13" i="7" s="1"/>
  <c r="D10" i="3"/>
  <c r="D13" i="5" s="1"/>
  <c r="C13" i="5"/>
  <c r="K4" i="10"/>
  <c r="D3" i="7" s="1"/>
  <c r="E30" i="10"/>
  <c r="L4" i="10" s="1"/>
  <c r="E3" i="7" s="1"/>
  <c r="C4" i="5"/>
  <c r="B4" i="6"/>
  <c r="C3" i="8" s="1"/>
  <c r="D5" i="8" l="1"/>
  <c r="D8" i="7"/>
  <c r="L9" i="10"/>
  <c r="B7" i="6"/>
  <c r="C15" i="5"/>
  <c r="C10" i="8"/>
  <c r="C5" i="6"/>
  <c r="C6" i="6" s="1"/>
  <c r="D5" i="6" s="1"/>
  <c r="D6" i="6" s="1"/>
  <c r="E13" i="5"/>
  <c r="D11" i="3"/>
  <c r="D13" i="7" s="1"/>
  <c r="D4" i="5"/>
  <c r="C4" i="6"/>
  <c r="D3" i="8" s="1"/>
  <c r="E4" i="5"/>
  <c r="D4" i="6"/>
  <c r="E3" i="8" s="1"/>
  <c r="C5" i="5"/>
  <c r="E5" i="8" l="1"/>
  <c r="E8" i="7"/>
  <c r="C17" i="5"/>
  <c r="C18" i="5" s="1"/>
  <c r="E6" i="6"/>
  <c r="B4" i="12" s="1"/>
  <c r="B5" i="12" s="1"/>
  <c r="D10" i="8"/>
  <c r="D15" i="5"/>
  <c r="C7" i="6"/>
  <c r="B9" i="8"/>
  <c r="B14" i="8" s="1"/>
  <c r="B8" i="5"/>
  <c r="C12" i="8"/>
  <c r="C13" i="8" s="1"/>
  <c r="E10" i="8"/>
  <c r="E15" i="5"/>
  <c r="D7" i="6"/>
  <c r="C4" i="12" l="1"/>
  <c r="C5" i="12"/>
  <c r="C7" i="12" s="1"/>
  <c r="B10" i="5" l="1"/>
  <c r="B14" i="7"/>
  <c r="B14" i="5" s="1"/>
  <c r="B19" i="5" s="1"/>
  <c r="D31" i="10" l="1"/>
  <c r="E31" i="10" l="1"/>
  <c r="D32" i="10" s="1"/>
  <c r="D6" i="5"/>
  <c r="L5" i="10"/>
  <c r="E4" i="7" s="1"/>
  <c r="C33" i="10"/>
  <c r="J11" i="10" s="1"/>
  <c r="C32" i="10"/>
  <c r="K5" i="10"/>
  <c r="D4" i="7" s="1"/>
  <c r="B7" i="12"/>
  <c r="J13" i="10" l="1"/>
  <c r="C12" i="7" s="1"/>
  <c r="C10" i="7"/>
  <c r="C7" i="8"/>
  <c r="E33" i="10"/>
  <c r="L11" i="10" s="1"/>
  <c r="D33" i="10"/>
  <c r="K11" i="10" s="1"/>
  <c r="E9" i="5"/>
  <c r="E6" i="5"/>
  <c r="K8" i="10"/>
  <c r="E16" i="5"/>
  <c r="E11" i="8"/>
  <c r="D4" i="8" l="1"/>
  <c r="D7" i="7"/>
  <c r="D5" i="5" s="1"/>
  <c r="D17" i="5" s="1"/>
  <c r="D18" i="5" s="1"/>
  <c r="D7" i="8"/>
  <c r="D10" i="7"/>
  <c r="D8" i="5" s="1"/>
  <c r="E7" i="8"/>
  <c r="E10" i="7"/>
  <c r="E8" i="5" s="1"/>
  <c r="K13" i="10"/>
  <c r="D12" i="7" s="1"/>
  <c r="L8" i="10"/>
  <c r="C9" i="8"/>
  <c r="C14" i="8" s="1"/>
  <c r="C8" i="5"/>
  <c r="L13" i="10" l="1"/>
  <c r="E12" i="7" s="1"/>
  <c r="E4" i="8"/>
  <c r="E7" i="7"/>
  <c r="E5" i="5" s="1"/>
  <c r="E17" i="5" s="1"/>
  <c r="E18" i="5" s="1"/>
  <c r="D9" i="8"/>
  <c r="D12" i="8"/>
  <c r="D13" i="8" s="1"/>
  <c r="E12" i="8" l="1"/>
  <c r="E13" i="8" s="1"/>
  <c r="E9" i="8"/>
  <c r="E10" i="5"/>
  <c r="E14" i="7"/>
  <c r="E14" i="5" s="1"/>
  <c r="E19" i="5" s="1"/>
  <c r="D10" i="5"/>
  <c r="D14" i="7"/>
  <c r="D14" i="5" s="1"/>
  <c r="D19" i="5" s="1"/>
  <c r="C10" i="5"/>
  <c r="C14" i="7"/>
  <c r="C14" i="5" s="1"/>
  <c r="C19" i="5" s="1"/>
  <c r="D14" i="8"/>
  <c r="E14"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000-000001000000}">
      <text>
        <r>
          <rPr>
            <sz val="11"/>
            <color indexed="81"/>
            <rFont val="Times New Roman"/>
            <family val="1"/>
          </rPr>
          <t xml:space="preserve">Dette regnearket utfører beregningene i tabell 2.1 og figur 2.2.
Linje 28 er en hjelpelinje for å få vertikal akse i tusen kroner
Fet font angir inngangsverdi, dvs. data du må legge inn. Vanlig font betyr utgangsverdi, dvs. beregnede tall.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Per Ivar Gjærum</author>
    <author>Eier</author>
  </authors>
  <commentList>
    <comment ref="A1" authorId="0" shapeId="0" xr:uid="{00000000-0006-0000-0100-000001000000}">
      <text>
        <r>
          <rPr>
            <sz val="11"/>
            <color indexed="81"/>
            <rFont val="Times New Roman"/>
            <family val="1"/>
          </rPr>
          <t xml:space="preserve">Dette regnearket utfører beregningene bak tabellene 2.4 til tabell  2.11. Forutsetningene for beregningene i alle disse tabellene ligger her i denne fanen "Tabell 2.4 og 2.5". 
Dersom du angir en prisendring på 0 % i celle D2, vises prosjektets reelle kontanstrøm i cellene I13-L13. I celle J2 angis det at dette er tabell 2.4. Oppgir du et tall forskjellig fra null i celle D2, vises fortsatt kontantstrømmen i de samme cellerne som over, men da angis det i celle J2 at dette er tabell 2.5.
I cellene F3 til F7 vises forutsetninger som brukes i tabellene 2.6 til 2.11. 
Fet font angir inngangsverdi, dvs. data du må legge inn. Vanlig font betyr utgangsverdi, dvs. beregnede tall. Dette gjelder alle våre regneark, men det er spesielt viktig å være klar over her, siden tabellene lenger ut i kapitlet henter opplysninger fra denne innledningsfanen.
</t>
        </r>
        <r>
          <rPr>
            <sz val="8"/>
            <color indexed="81"/>
            <rFont val="Tahoma"/>
            <family val="2"/>
          </rPr>
          <t xml:space="preserve">
</t>
        </r>
      </text>
    </comment>
    <comment ref="D2" authorId="1" shapeId="0" xr:uid="{EE217D89-6534-4248-980B-E4998D8D3697}">
      <text>
        <r>
          <rPr>
            <sz val="11"/>
            <color indexed="81"/>
            <rFont val="Times New Roman"/>
            <family val="1"/>
          </rPr>
          <t>Ved 0 % her beregnes tabell 2.4
For alle andre prosentsatser beregnes tabell 2.5.</t>
        </r>
        <r>
          <rPr>
            <sz val="9"/>
            <color indexed="81"/>
            <rFont val="Tahoma"/>
            <charset val="1"/>
          </rPr>
          <t xml:space="preserve"> 
</t>
        </r>
      </text>
    </comment>
    <comment ref="E5" authorId="1" shapeId="0" xr:uid="{4DD700FF-D6A2-4C7D-B1AF-0BD1A7AA986F}">
      <text>
        <r>
          <rPr>
            <sz val="9"/>
            <color indexed="81"/>
            <rFont val="Tahoma"/>
            <family val="2"/>
          </rPr>
          <t>Kan ikke endres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300-000001000000}">
      <text>
        <r>
          <rPr>
            <sz val="11"/>
            <color indexed="81"/>
            <rFont val="Times New Roman"/>
            <family val="1"/>
          </rPr>
          <t>Her budsjetteres lånets kontantstrøm, oppdelt i renter og avdrag. Dette er et serielån, med betingelser som angitt i cellene i fane "Tabell 2.4 og 2.5" F3-F6. 
I denne tabellen er det ingen fete fonter fordi alle inputverdier er angitt i fanen "Tabell 2.4 og 2.5"</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400-000001000000}">
      <text>
        <r>
          <rPr>
            <sz val="11"/>
            <color indexed="81"/>
            <rFont val="Times New Roman"/>
            <family val="1"/>
          </rPr>
          <t>Her budsjetteres kontantstrøm til egenkapitalen. 
I denne tabellen er det ingen fete fonter fordi alle inputverdier er angitt i fanen "Tabell 2.4 og 2.5"</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Per Ivar Gjærum</author>
    <author>Eier</author>
  </authors>
  <commentList>
    <comment ref="A1" authorId="0" shapeId="0" xr:uid="{00000000-0006-0000-0500-000001000000}">
      <text>
        <r>
          <rPr>
            <sz val="11"/>
            <color indexed="81"/>
            <rFont val="Times New Roman"/>
            <family val="1"/>
          </rPr>
          <t>Her budsjetteres årlige avskrivninger og anleggsinvesteringens bokførte verdi. Samlet avskrivning beregnes i celle E6.
I denne tabellen er det ingen fete fonter fordi alle inputverdier er angitt i fanen "Tabell 2.4 og 2.5".</t>
        </r>
      </text>
    </comment>
    <comment ref="E6" authorId="1" shapeId="0" xr:uid="{878AF73B-E4E0-4AC3-A522-75982E68F443}">
      <text>
        <r>
          <rPr>
            <sz val="9"/>
            <color indexed="81"/>
            <rFont val="Tahoma"/>
            <family val="2"/>
          </rPr>
          <t xml:space="preserve">Samlet avskrivning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Eier</author>
  </authors>
  <commentList>
    <comment ref="A1" authorId="0" shapeId="0" xr:uid="{00000000-0006-0000-0600-000001000000}">
      <text>
        <r>
          <rPr>
            <sz val="9"/>
            <color indexed="81"/>
            <rFont val="Tahoma"/>
            <family val="2"/>
          </rPr>
          <t>Her beregnes salgsgevinst og salgstap for alternative restverdier. 
I denne tabellen er det ingen fete fonter fordi alle inputverdier er angitt i fanen "Tabell 2.4 og 2.5"</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Per Ivar Gjærum</author>
    <author>Eier</author>
  </authors>
  <commentList>
    <comment ref="A1" authorId="0" shapeId="0" xr:uid="{00000000-0006-0000-0700-000001000000}">
      <text>
        <r>
          <rPr>
            <sz val="9"/>
            <color indexed="81"/>
            <rFont val="Tahoma"/>
            <family val="2"/>
          </rPr>
          <t>Her budsjetteres nominell kontantstrøm til egenkapitalen etter skatt.
I denne tabellen er det ingen fete fonter fordi alle inputverdier er angitt i fanen "Tabell 2.4 og 2.5"</t>
        </r>
      </text>
    </comment>
    <comment ref="C2" authorId="1" shapeId="0" xr:uid="{5548A50E-C677-477E-90D4-E9D127DC75B8}">
      <text>
        <r>
          <rPr>
            <sz val="9"/>
            <color indexed="81"/>
            <rFont val="Tahoma"/>
            <family val="2"/>
          </rPr>
          <t xml:space="preserve">Husk at skattesatsen legges inn i fanen "Tabell 2.4 og 2.5"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800-000001000000}">
      <text>
        <r>
          <rPr>
            <sz val="9"/>
            <color indexed="81"/>
            <rFont val="Tahoma"/>
            <family val="2"/>
          </rPr>
          <t>Her budsjetteres nominell kontantstrøm til totalkapitalen etter skatt.
I denne tabellen er det ingen fete fonter fordi alle inputverdier er angitt i fanen "Tabell 2.4 og 2.5"</t>
        </r>
      </text>
    </comment>
  </commentList>
</comments>
</file>

<file path=xl/sharedStrings.xml><?xml version="1.0" encoding="utf-8"?>
<sst xmlns="http://schemas.openxmlformats.org/spreadsheetml/2006/main" count="120" uniqueCount="86">
  <si>
    <t>Les dette</t>
  </si>
  <si>
    <t>Omsetning</t>
  </si>
  <si>
    <t>År</t>
  </si>
  <si>
    <t>a. Produktkalkyle, kroner pr sykkel</t>
  </si>
  <si>
    <t>Prisendring</t>
  </si>
  <si>
    <t>Salgspris</t>
  </si>
  <si>
    <t>Råmaterialer og innkjøpte deler</t>
  </si>
  <si>
    <t>Råmaterialer</t>
  </si>
  <si>
    <t>Produksjonslønn</t>
  </si>
  <si>
    <t>Dekningsbidrag pr. sykkel</t>
  </si>
  <si>
    <t>Dekningsbidrag</t>
  </si>
  <si>
    <t>b. Salgsbudsjett, antall sykler</t>
  </si>
  <si>
    <t>Investering</t>
  </si>
  <si>
    <t xml:space="preserve">     Arbeidskapital</t>
  </si>
  <si>
    <t>Salgvolum</t>
  </si>
  <si>
    <t xml:space="preserve">     Anleggskapital/restverdi</t>
  </si>
  <si>
    <t>Kontantstrøm</t>
  </si>
  <si>
    <t>Antall</t>
  </si>
  <si>
    <t>Enhet</t>
  </si>
  <si>
    <t>Lønn</t>
  </si>
  <si>
    <t>årsverk</t>
  </si>
  <si>
    <t>Husleie</t>
  </si>
  <si>
    <r>
      <t>m</t>
    </r>
    <r>
      <rPr>
        <vertAlign val="superscript"/>
        <sz val="11"/>
        <rFont val="Times New Roman"/>
        <family val="1"/>
      </rPr>
      <t>2</t>
    </r>
  </si>
  <si>
    <t>Elektrisitet</t>
  </si>
  <si>
    <t>kWh</t>
  </si>
  <si>
    <t>Forsikringer</t>
  </si>
  <si>
    <t>Markedsføring og salg</t>
  </si>
  <si>
    <t>Diverse</t>
  </si>
  <si>
    <t>d. Anleggskapital, 1 000 kroner</t>
  </si>
  <si>
    <t>Maskiner</t>
  </si>
  <si>
    <t>Inventar</t>
  </si>
  <si>
    <t>Sum anleggsinvestering</t>
  </si>
  <si>
    <t>Restverdi</t>
  </si>
  <si>
    <t>e. Arbeidskapital</t>
  </si>
  <si>
    <t>Beholdning arbeidskapital</t>
  </si>
  <si>
    <t>Investering, arbeidskapital</t>
  </si>
  <si>
    <t>Lånebeløp</t>
  </si>
  <si>
    <t>1 000 kr</t>
  </si>
  <si>
    <t>Nominell rentesats</t>
  </si>
  <si>
    <t>p.a.</t>
  </si>
  <si>
    <t>Løpetid</t>
  </si>
  <si>
    <t>år</t>
  </si>
  <si>
    <t>Avdrag</t>
  </si>
  <si>
    <t>Restgjeld</t>
  </si>
  <si>
    <t>Renter</t>
  </si>
  <si>
    <t>Saldosats</t>
  </si>
  <si>
    <t>Resultat før skatt</t>
  </si>
  <si>
    <t>Skatt</t>
  </si>
  <si>
    <t>Bokført verdi før avskrivning</t>
  </si>
  <si>
    <t>Skattesats</t>
  </si>
  <si>
    <t>Kontantstrøm til egenkapitalen</t>
  </si>
  <si>
    <t>Tabell 2.5</t>
  </si>
  <si>
    <t>Bokført verdi etter avskrivning</t>
  </si>
  <si>
    <t>NB - kan ikke endres</t>
  </si>
  <si>
    <t>Kontantstrøm til egenkapitalen etter skatt</t>
  </si>
  <si>
    <t>Tabell 2.8</t>
  </si>
  <si>
    <t>Tabell 2.9</t>
  </si>
  <si>
    <t>Tabell 2.11.</t>
  </si>
  <si>
    <t>Tabell 2.10.</t>
  </si>
  <si>
    <t>Kontantstrøm til totalkapitalen etter skatt</t>
  </si>
  <si>
    <t>Referanse</t>
  </si>
  <si>
    <t>Salgsgevinst(+) / Salgstap (-)</t>
  </si>
  <si>
    <t>Kontantstrøm til egenkapitalen før skatt</t>
  </si>
  <si>
    <t>Salgsgevinst (+) / Salgstap (-)</t>
  </si>
  <si>
    <t>Prosjektets kontantstrøm</t>
  </si>
  <si>
    <t>Lånets kontantstrøm</t>
  </si>
  <si>
    <t>Sum avskrivninger</t>
  </si>
  <si>
    <t>Kontantstrøm til totalkapitalen før skatt</t>
  </si>
  <si>
    <t>Kontantstrøm til totalkapitalen</t>
  </si>
  <si>
    <t>Avskrivning</t>
  </si>
  <si>
    <t>Utbetaling</t>
  </si>
  <si>
    <t>(tusen  kr.)</t>
  </si>
  <si>
    <t>Pris(kr./enhet)</t>
  </si>
  <si>
    <t>Utbytte</t>
  </si>
  <si>
    <t>Salgsverdi</t>
  </si>
  <si>
    <t>Tabell 2.7</t>
  </si>
  <si>
    <t>Lånerente</t>
  </si>
  <si>
    <t>Andre forutsetninger</t>
  </si>
  <si>
    <t>AKP-prosent</t>
  </si>
  <si>
    <t xml:space="preserve">  Alternative restverdier</t>
  </si>
  <si>
    <t>- Bokført verdi</t>
  </si>
  <si>
    <t>= Salgsgevinst (+)/Salgstap(-)</t>
  </si>
  <si>
    <t>c. Faste kostnader</t>
  </si>
  <si>
    <t>Sum faste kostnader</t>
  </si>
  <si>
    <t>Faste kostnader</t>
  </si>
  <si>
    <t>Avskrivning av bokført verdi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</si>
</sst>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
    <numFmt numFmtId="165" formatCode="_ * #,##0_ ;_ * \-#,##0_ ;_ * &quot;-&quot;??_ ;_ @_ "/>
    <numFmt numFmtId="166" formatCode="_(* #,##0.00_);_(* \(#,##0.00\);_(* &quot;-&quot;??_);_(@_)"/>
  </numFmts>
  <fonts count="14" x14ac:knownFonts="1">
    <font>
      <sz val="10"/>
      <name val="Arial"/>
    </font>
    <font>
      <sz val="10"/>
      <name val="Arial"/>
      <family val="2"/>
    </font>
    <font>
      <b/>
      <sz val="10"/>
      <name val="Arial"/>
      <family val="2"/>
    </font>
    <font>
      <sz val="10"/>
      <name val="Arial"/>
      <family val="2"/>
    </font>
    <font>
      <sz val="11"/>
      <color indexed="81"/>
      <name val="Times New Roman"/>
      <family val="1"/>
    </font>
    <font>
      <b/>
      <sz val="11"/>
      <name val="Times New Roman"/>
      <family val="1"/>
    </font>
    <font>
      <sz val="11"/>
      <name val="Times New Roman"/>
      <family val="1"/>
    </font>
    <font>
      <vertAlign val="superscript"/>
      <sz val="11"/>
      <name val="Times New Roman"/>
      <family val="1"/>
    </font>
    <font>
      <sz val="10"/>
      <color indexed="10"/>
      <name val="Arial"/>
      <family val="2"/>
    </font>
    <font>
      <sz val="8"/>
      <color indexed="81"/>
      <name val="Tahoma"/>
      <family val="2"/>
    </font>
    <font>
      <sz val="9"/>
      <color indexed="81"/>
      <name val="Tahoma"/>
      <family val="2"/>
    </font>
    <font>
      <sz val="12"/>
      <name val="Times New Roman"/>
      <family val="1"/>
    </font>
    <font>
      <sz val="11"/>
      <color theme="1"/>
      <name val="Calibri"/>
      <family val="2"/>
      <scheme val="minor"/>
    </font>
    <font>
      <sz val="9"/>
      <color indexed="81"/>
      <name val="Tahoma"/>
      <charset val="1"/>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double">
        <color indexed="64"/>
      </bottom>
      <diagonal/>
    </border>
    <border>
      <left/>
      <right/>
      <top/>
      <bottom style="thin">
        <color indexed="64"/>
      </bottom>
      <diagonal/>
    </border>
  </borders>
  <cellStyleXfs count="6">
    <xf numFmtId="0" fontId="0" fillId="0" borderId="0"/>
    <xf numFmtId="166" fontId="3" fillId="0" borderId="0" applyFont="0" applyFill="0" applyBorder="0" applyAlignment="0" applyProtection="0"/>
    <xf numFmtId="43" fontId="12" fillId="0" borderId="0" applyFont="0" applyFill="0" applyBorder="0" applyAlignment="0" applyProtection="0"/>
    <xf numFmtId="0" fontId="3" fillId="0" borderId="0"/>
    <xf numFmtId="9" fontId="3" fillId="0" borderId="0" applyFont="0" applyFill="0" applyBorder="0" applyAlignment="0" applyProtection="0"/>
    <xf numFmtId="9" fontId="1" fillId="0" borderId="0" applyFont="0" applyFill="0" applyBorder="0" applyAlignment="0" applyProtection="0"/>
  </cellStyleXfs>
  <cellXfs count="68">
    <xf numFmtId="0" fontId="0" fillId="0" borderId="0" xfId="0"/>
    <xf numFmtId="0" fontId="0" fillId="0" borderId="0" xfId="0" quotePrefix="1" applyAlignment="1">
      <alignment horizontal="left"/>
    </xf>
    <xf numFmtId="3" fontId="0" fillId="0" borderId="0" xfId="0" applyNumberFormat="1"/>
    <xf numFmtId="0" fontId="6" fillId="0" borderId="0" xfId="0" applyFont="1"/>
    <xf numFmtId="0" fontId="5" fillId="0" borderId="0" xfId="3" applyFont="1"/>
    <xf numFmtId="0" fontId="6" fillId="0" borderId="0" xfId="3" applyFont="1"/>
    <xf numFmtId="0" fontId="6" fillId="0" borderId="0" xfId="3" applyFont="1" applyAlignment="1">
      <alignment horizontal="center"/>
    </xf>
    <xf numFmtId="0" fontId="3" fillId="0" borderId="0" xfId="3"/>
    <xf numFmtId="0" fontId="6" fillId="0" borderId="0" xfId="3" quotePrefix="1" applyFont="1" applyAlignment="1">
      <alignment horizontal="left"/>
    </xf>
    <xf numFmtId="3" fontId="5" fillId="0" borderId="0" xfId="3" applyNumberFormat="1" applyFont="1"/>
    <xf numFmtId="9" fontId="5" fillId="0" borderId="0" xfId="4" applyFont="1"/>
    <xf numFmtId="3" fontId="6" fillId="0" borderId="0" xfId="3" applyNumberFormat="1" applyFont="1"/>
    <xf numFmtId="0" fontId="6" fillId="0" borderId="0" xfId="3" applyFont="1" applyAlignment="1">
      <alignment horizontal="right"/>
    </xf>
    <xf numFmtId="3" fontId="6" fillId="0" borderId="0" xfId="3" applyNumberFormat="1" applyFont="1" applyAlignment="1">
      <alignment horizontal="right"/>
    </xf>
    <xf numFmtId="3" fontId="6" fillId="0" borderId="0" xfId="3" quotePrefix="1" applyNumberFormat="1" applyFont="1" applyAlignment="1">
      <alignment horizontal="right"/>
    </xf>
    <xf numFmtId="9" fontId="5" fillId="0" borderId="0" xfId="3" applyNumberFormat="1" applyFont="1"/>
    <xf numFmtId="164" fontId="3" fillId="0" borderId="0" xfId="3" applyNumberFormat="1"/>
    <xf numFmtId="0" fontId="3" fillId="0" borderId="0" xfId="3" applyAlignment="1">
      <alignment horizontal="center"/>
    </xf>
    <xf numFmtId="3" fontId="3" fillId="0" borderId="0" xfId="3" applyNumberFormat="1"/>
    <xf numFmtId="0" fontId="3" fillId="0" borderId="0" xfId="3" quotePrefix="1" applyAlignment="1">
      <alignment horizontal="left"/>
    </xf>
    <xf numFmtId="0" fontId="3" fillId="0" borderId="0" xfId="3" quotePrefix="1" applyAlignment="1">
      <alignment horizontal="center"/>
    </xf>
    <xf numFmtId="0" fontId="8" fillId="0" borderId="0" xfId="3" applyFont="1"/>
    <xf numFmtId="0" fontId="3" fillId="0" borderId="0" xfId="0" applyFont="1"/>
    <xf numFmtId="165" fontId="6" fillId="0" borderId="0" xfId="2" applyNumberFormat="1" applyFont="1"/>
    <xf numFmtId="3" fontId="6" fillId="0" borderId="1" xfId="3" applyNumberFormat="1" applyFont="1" applyBorder="1"/>
    <xf numFmtId="3" fontId="6" fillId="0" borderId="2" xfId="3" applyNumberFormat="1" applyFont="1" applyBorder="1" applyAlignment="1">
      <alignment horizontal="right"/>
    </xf>
    <xf numFmtId="3" fontId="6" fillId="0" borderId="2" xfId="3" applyNumberFormat="1" applyFont="1" applyBorder="1" applyAlignment="1">
      <alignment horizontal="left"/>
    </xf>
    <xf numFmtId="9" fontId="6" fillId="0" borderId="0" xfId="3" applyNumberFormat="1" applyFont="1"/>
    <xf numFmtId="165" fontId="0" fillId="0" borderId="0" xfId="0" applyNumberFormat="1"/>
    <xf numFmtId="3" fontId="6" fillId="0" borderId="0" xfId="2" applyNumberFormat="1" applyFont="1"/>
    <xf numFmtId="3" fontId="6" fillId="0" borderId="2" xfId="3" applyNumberFormat="1" applyFont="1" applyBorder="1" applyAlignment="1">
      <alignment horizontal="center"/>
    </xf>
    <xf numFmtId="0" fontId="6" fillId="2" borderId="0" xfId="3" applyFont="1" applyFill="1"/>
    <xf numFmtId="1" fontId="0" fillId="0" borderId="0" xfId="0" applyNumberFormat="1"/>
    <xf numFmtId="9" fontId="6" fillId="0" borderId="0" xfId="5" applyFont="1"/>
    <xf numFmtId="0" fontId="11" fillId="0" borderId="0" xfId="0" applyFont="1"/>
    <xf numFmtId="0" fontId="1" fillId="0" borderId="0" xfId="0" applyFont="1"/>
    <xf numFmtId="0" fontId="2" fillId="0" borderId="0" xfId="0" applyFont="1"/>
    <xf numFmtId="0" fontId="6" fillId="0" borderId="2" xfId="3" applyFont="1" applyBorder="1" applyAlignment="1">
      <alignment horizontal="right"/>
    </xf>
    <xf numFmtId="0" fontId="6" fillId="0" borderId="2" xfId="3" quotePrefix="1" applyFont="1" applyBorder="1" applyAlignment="1">
      <alignment horizontal="right"/>
    </xf>
    <xf numFmtId="3" fontId="2" fillId="0" borderId="0" xfId="0" applyNumberFormat="1" applyFont="1"/>
    <xf numFmtId="0" fontId="1" fillId="0" borderId="2" xfId="0" applyFont="1" applyBorder="1"/>
    <xf numFmtId="3" fontId="2" fillId="0" borderId="2" xfId="0" applyNumberFormat="1" applyFont="1" applyBorder="1"/>
    <xf numFmtId="0" fontId="0" fillId="0" borderId="2" xfId="0" applyBorder="1"/>
    <xf numFmtId="164" fontId="6" fillId="0" borderId="0" xfId="5" applyNumberFormat="1" applyFont="1"/>
    <xf numFmtId="0" fontId="6" fillId="0" borderId="2" xfId="3" applyFont="1" applyBorder="1"/>
    <xf numFmtId="3" fontId="5" fillId="0" borderId="2" xfId="3" applyNumberFormat="1" applyFont="1" applyBorder="1"/>
    <xf numFmtId="3" fontId="6" fillId="0" borderId="2" xfId="3" applyNumberFormat="1" applyFont="1" applyBorder="1"/>
    <xf numFmtId="0" fontId="6" fillId="0" borderId="2" xfId="3" quotePrefix="1" applyFont="1" applyBorder="1" applyAlignment="1">
      <alignment horizontal="left"/>
    </xf>
    <xf numFmtId="0" fontId="6" fillId="0" borderId="2" xfId="0" applyFont="1" applyBorder="1"/>
    <xf numFmtId="165" fontId="6" fillId="0" borderId="2" xfId="2" applyNumberFormat="1" applyFont="1" applyBorder="1"/>
    <xf numFmtId="165" fontId="6" fillId="0" borderId="0" xfId="2" applyNumberFormat="1" applyFont="1" applyAlignment="1">
      <alignment horizontal="center"/>
    </xf>
    <xf numFmtId="9" fontId="6" fillId="0" borderId="0" xfId="0" applyNumberFormat="1" applyFont="1"/>
    <xf numFmtId="3" fontId="6" fillId="0" borderId="0" xfId="0" applyNumberFormat="1" applyFont="1"/>
    <xf numFmtId="3" fontId="6" fillId="0" borderId="0" xfId="1" applyNumberFormat="1" applyFont="1"/>
    <xf numFmtId="3" fontId="6" fillId="0" borderId="2" xfId="0" applyNumberFormat="1" applyFont="1" applyBorder="1"/>
    <xf numFmtId="3" fontId="6" fillId="0" borderId="2" xfId="1" applyNumberFormat="1" applyFont="1" applyBorder="1"/>
    <xf numFmtId="3" fontId="6" fillId="0" borderId="0" xfId="0" applyNumberFormat="1" applyFont="1" applyAlignment="1">
      <alignment wrapText="1"/>
    </xf>
    <xf numFmtId="0" fontId="6" fillId="0" borderId="2" xfId="0" quotePrefix="1" applyFont="1" applyBorder="1"/>
    <xf numFmtId="0" fontId="6" fillId="0" borderId="0" xfId="0" quotePrefix="1" applyFont="1"/>
    <xf numFmtId="165" fontId="6" fillId="0" borderId="0" xfId="0" applyNumberFormat="1" applyFont="1"/>
    <xf numFmtId="165" fontId="6" fillId="0" borderId="2" xfId="0" applyNumberFormat="1" applyFont="1" applyBorder="1"/>
    <xf numFmtId="0" fontId="3" fillId="0" borderId="0" xfId="0" applyFont="1" applyAlignment="1">
      <alignment horizontal="center"/>
    </xf>
    <xf numFmtId="0" fontId="6" fillId="0" borderId="0" xfId="3" applyFont="1" applyAlignment="1">
      <alignment horizontal="center"/>
    </xf>
    <xf numFmtId="0" fontId="6" fillId="0" borderId="0" xfId="0" applyFont="1" applyAlignment="1">
      <alignment horizontal="center"/>
    </xf>
    <xf numFmtId="0" fontId="1" fillId="0" borderId="0" xfId="0" applyFont="1" applyAlignment="1">
      <alignment horizontal="center"/>
    </xf>
    <xf numFmtId="165" fontId="6" fillId="0" borderId="0" xfId="2" applyNumberFormat="1" applyFont="1" applyAlignment="1">
      <alignment horizontal="center"/>
    </xf>
    <xf numFmtId="0" fontId="6" fillId="0" borderId="0" xfId="0" quotePrefix="1" applyFont="1" applyAlignment="1">
      <alignment horizontal="center"/>
    </xf>
    <xf numFmtId="0" fontId="0" fillId="0" borderId="0" xfId="0" applyAlignment="1">
      <alignment horizontal="center"/>
    </xf>
  </cellXfs>
  <cellStyles count="6">
    <cellStyle name="Comma 2" xfId="1" xr:uid="{00000000-0005-0000-0000-000001000000}"/>
    <cellStyle name="Komma" xfId="2" builtinId="3"/>
    <cellStyle name="Normal" xfId="0" builtinId="0"/>
    <cellStyle name="Normal 2" xfId="3" xr:uid="{00000000-0005-0000-0000-000003000000}"/>
    <cellStyle name="Percent 2" xfId="4" xr:uid="{00000000-0005-0000-0000-000005000000}"/>
    <cellStyle name="Pros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numRef>
              <c:f>' Tabell 2.1 og Figur 2.2'!$B$3:$I$3</c:f>
              <c:numCache>
                <c:formatCode>General</c:formatCode>
                <c:ptCount val="8"/>
                <c:pt idx="0">
                  <c:v>0</c:v>
                </c:pt>
                <c:pt idx="1">
                  <c:v>1</c:v>
                </c:pt>
                <c:pt idx="2">
                  <c:v>2</c:v>
                </c:pt>
                <c:pt idx="3">
                  <c:v>3</c:v>
                </c:pt>
                <c:pt idx="4">
                  <c:v>4</c:v>
                </c:pt>
                <c:pt idx="5">
                  <c:v>5</c:v>
                </c:pt>
                <c:pt idx="6">
                  <c:v>6</c:v>
                </c:pt>
                <c:pt idx="7">
                  <c:v>7</c:v>
                </c:pt>
              </c:numCache>
            </c:numRef>
          </c:cat>
          <c:val>
            <c:numRef>
              <c:f>' Tabell 2.1 og Figur 2.2'!$B$28:$I$28</c:f>
              <c:numCache>
                <c:formatCode>General</c:formatCode>
                <c:ptCount val="8"/>
                <c:pt idx="0">
                  <c:v>-137.5</c:v>
                </c:pt>
                <c:pt idx="1">
                  <c:v>3</c:v>
                </c:pt>
                <c:pt idx="2">
                  <c:v>3.25</c:v>
                </c:pt>
                <c:pt idx="3">
                  <c:v>3.4</c:v>
                </c:pt>
                <c:pt idx="4">
                  <c:v>29</c:v>
                </c:pt>
                <c:pt idx="5">
                  <c:v>8.5</c:v>
                </c:pt>
                <c:pt idx="6">
                  <c:v>7.5</c:v>
                </c:pt>
                <c:pt idx="7">
                  <c:v>354</c:v>
                </c:pt>
              </c:numCache>
            </c:numRef>
          </c:val>
          <c:extLst>
            <c:ext xmlns:c16="http://schemas.microsoft.com/office/drawing/2014/chart" uri="{C3380CC4-5D6E-409C-BE32-E72D297353CC}">
              <c16:uniqueId val="{00000000-6116-4450-8FFE-20FD65EEF0E5}"/>
            </c:ext>
          </c:extLst>
        </c:ser>
        <c:dLbls>
          <c:showLegendKey val="0"/>
          <c:showVal val="0"/>
          <c:showCatName val="0"/>
          <c:showSerName val="0"/>
          <c:showPercent val="0"/>
          <c:showBubbleSize val="0"/>
        </c:dLbls>
        <c:gapWidth val="150"/>
        <c:axId val="306171024"/>
        <c:axId val="1"/>
      </c:barChart>
      <c:catAx>
        <c:axId val="306171024"/>
        <c:scaling>
          <c:orientation val="minMax"/>
        </c:scaling>
        <c:delete val="0"/>
        <c:axPos val="b"/>
        <c:title>
          <c:tx>
            <c:rich>
              <a:bodyPr/>
              <a:lstStyle/>
              <a:p>
                <a:pPr>
                  <a:defRPr/>
                </a:pPr>
                <a:r>
                  <a:rPr lang="nb-NO" b="0"/>
                  <a:t>År</a:t>
                </a:r>
              </a:p>
            </c:rich>
          </c:tx>
          <c:layout>
            <c:manualLayout>
              <c:xMode val="edge"/>
              <c:yMode val="edge"/>
              <c:x val="0.51513989174589692"/>
              <c:y val="0.87868041085028314"/>
            </c:manualLayout>
          </c:layout>
          <c:overlay val="0"/>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title>
          <c:tx>
            <c:rich>
              <a:bodyPr rot="-5400000" vert="horz"/>
              <a:lstStyle/>
              <a:p>
                <a:pPr>
                  <a:defRPr b="0"/>
                </a:pPr>
                <a:r>
                  <a:rPr lang="en-US" b="0"/>
                  <a:t>Tusen</a:t>
                </a:r>
                <a:r>
                  <a:rPr lang="en-US" b="0" baseline="0"/>
                  <a:t> </a:t>
                </a:r>
                <a:r>
                  <a:rPr lang="en-US" b="0"/>
                  <a:t>kroner</a:t>
                </a:r>
              </a:p>
            </c:rich>
          </c:tx>
          <c:layout>
            <c:manualLayout>
              <c:xMode val="edge"/>
              <c:yMode val="edge"/>
              <c:x val="4.7026279391424619E-2"/>
              <c:y val="0.32681654279196409"/>
            </c:manualLayout>
          </c:layout>
          <c:overlay val="0"/>
        </c:title>
        <c:numFmt formatCode="General" sourceLinked="1"/>
        <c:majorTickMark val="out"/>
        <c:minorTickMark val="none"/>
        <c:tickLblPos val="nextTo"/>
        <c:crossAx val="30617102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139700</xdr:rowOff>
    </xdr:from>
    <xdr:to>
      <xdr:col>7</xdr:col>
      <xdr:colOff>12700</xdr:colOff>
      <xdr:row>25</xdr:row>
      <xdr:rowOff>152400</xdr:rowOff>
    </xdr:to>
    <xdr:graphicFrame macro="">
      <xdr:nvGraphicFramePr>
        <xdr:cNvPr id="2" name="Chart 2">
          <a:extLst>
            <a:ext uri="{FF2B5EF4-FFF2-40B4-BE49-F238E27FC236}">
              <a16:creationId xmlns:a16="http://schemas.microsoft.com/office/drawing/2014/main" id="{E340DA7B-08CB-47EE-A3D1-EAFD708F15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8"/>
  <sheetViews>
    <sheetView tabSelected="1" zoomScaleNormal="100" workbookViewId="0"/>
  </sheetViews>
  <sheetFormatPr baseColWidth="10" defaultColWidth="8.7109375" defaultRowHeight="12.75" outlineLevelRow="2" x14ac:dyDescent="0.2"/>
  <cols>
    <col min="1" max="1" width="13.140625" customWidth="1"/>
    <col min="2" max="9" width="9.7109375" customWidth="1"/>
  </cols>
  <sheetData>
    <row r="1" spans="1:13" ht="14.25" x14ac:dyDescent="0.2">
      <c r="A1" s="4" t="s">
        <v>0</v>
      </c>
    </row>
    <row r="2" spans="1:13" x14ac:dyDescent="0.2">
      <c r="B2" s="61" t="s">
        <v>2</v>
      </c>
      <c r="C2" s="61"/>
      <c r="D2" s="61"/>
      <c r="E2" s="61"/>
      <c r="F2" s="61"/>
      <c r="G2" s="61"/>
      <c r="H2" s="61"/>
      <c r="I2" s="61"/>
    </row>
    <row r="3" spans="1:13" x14ac:dyDescent="0.2">
      <c r="B3">
        <v>0</v>
      </c>
      <c r="C3">
        <v>1</v>
      </c>
      <c r="D3">
        <v>2</v>
      </c>
      <c r="E3">
        <v>3</v>
      </c>
      <c r="F3">
        <v>4</v>
      </c>
      <c r="G3">
        <v>5</v>
      </c>
      <c r="H3">
        <v>6</v>
      </c>
      <c r="I3">
        <v>7</v>
      </c>
    </row>
    <row r="4" spans="1:13" x14ac:dyDescent="0.2">
      <c r="A4" t="s">
        <v>12</v>
      </c>
      <c r="B4" s="39">
        <v>-140000</v>
      </c>
    </row>
    <row r="5" spans="1:13" x14ac:dyDescent="0.2">
      <c r="A5" s="35" t="s">
        <v>73</v>
      </c>
      <c r="B5" s="39">
        <v>2500</v>
      </c>
      <c r="C5" s="39">
        <v>3000</v>
      </c>
      <c r="D5" s="39">
        <v>3250</v>
      </c>
      <c r="E5" s="39">
        <v>3400</v>
      </c>
      <c r="F5" s="39">
        <v>29000</v>
      </c>
      <c r="G5" s="39">
        <v>8500</v>
      </c>
      <c r="H5" s="39">
        <v>7500</v>
      </c>
      <c r="I5" s="39"/>
    </row>
    <row r="6" spans="1:13" x14ac:dyDescent="0.2">
      <c r="A6" s="40" t="s">
        <v>74</v>
      </c>
      <c r="B6" s="41"/>
      <c r="C6" s="42"/>
      <c r="D6" s="41"/>
      <c r="E6" s="41"/>
      <c r="F6" s="41"/>
      <c r="G6" s="41"/>
      <c r="H6" s="41"/>
      <c r="I6" s="41">
        <v>354000</v>
      </c>
    </row>
    <row r="7" spans="1:13" x14ac:dyDescent="0.2">
      <c r="A7" s="22" t="s">
        <v>16</v>
      </c>
      <c r="B7" s="2">
        <v>-137500</v>
      </c>
      <c r="C7" s="2">
        <v>3000</v>
      </c>
      <c r="D7" s="2">
        <v>3250</v>
      </c>
      <c r="E7" s="2">
        <v>3400</v>
      </c>
      <c r="F7" s="2">
        <v>29000</v>
      </c>
      <c r="G7" s="2">
        <v>8500</v>
      </c>
      <c r="H7" s="2">
        <v>7500</v>
      </c>
      <c r="I7" s="2">
        <v>354000</v>
      </c>
      <c r="J7" s="39"/>
    </row>
    <row r="14" spans="1:13" x14ac:dyDescent="0.2">
      <c r="M14" s="39"/>
    </row>
    <row r="28" spans="2:9" outlineLevel="2" x14ac:dyDescent="0.2">
      <c r="B28">
        <f>B7/1000</f>
        <v>-137.5</v>
      </c>
      <c r="C28">
        <f t="shared" ref="C28:I28" si="0">C7/1000</f>
        <v>3</v>
      </c>
      <c r="D28">
        <f t="shared" si="0"/>
        <v>3.25</v>
      </c>
      <c r="E28">
        <f t="shared" si="0"/>
        <v>3.4</v>
      </c>
      <c r="F28">
        <f t="shared" si="0"/>
        <v>29</v>
      </c>
      <c r="G28">
        <f t="shared" si="0"/>
        <v>8.5</v>
      </c>
      <c r="H28">
        <f t="shared" si="0"/>
        <v>7.5</v>
      </c>
      <c r="I28">
        <f t="shared" si="0"/>
        <v>354</v>
      </c>
    </row>
  </sheetData>
  <mergeCells count="1">
    <mergeCell ref="B2:I2"/>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77"/>
  <sheetViews>
    <sheetView zoomScaleNormal="100" workbookViewId="0">
      <selection activeCell="H14" sqref="H14"/>
    </sheetView>
  </sheetViews>
  <sheetFormatPr baseColWidth="10" defaultColWidth="11.42578125" defaultRowHeight="12.75" x14ac:dyDescent="0.2"/>
  <cols>
    <col min="1" max="1" width="30.140625" style="7" customWidth="1"/>
    <col min="2" max="2" width="11.42578125" style="7" customWidth="1"/>
    <col min="3" max="3" width="13.85546875" style="7" customWidth="1"/>
    <col min="4" max="4" width="12.28515625" style="7" customWidth="1"/>
    <col min="5" max="5" width="9.85546875" style="7" customWidth="1"/>
    <col min="6" max="6" width="11.28515625" style="7" customWidth="1"/>
    <col min="7" max="7" width="4.5703125" style="7" customWidth="1"/>
    <col min="8" max="8" width="26.42578125" style="7" customWidth="1"/>
    <col min="9" max="9" width="10.42578125" style="7" customWidth="1"/>
    <col min="10" max="10" width="11.5703125" style="7" customWidth="1"/>
    <col min="11" max="11" width="10.7109375" style="7" bestFit="1" customWidth="1"/>
    <col min="12" max="12" width="10.28515625" style="7" bestFit="1" customWidth="1"/>
    <col min="13" max="16384" width="11.42578125" style="7"/>
  </cols>
  <sheetData>
    <row r="1" spans="1:12" ht="18" customHeight="1" x14ac:dyDescent="0.25">
      <c r="A1" s="4" t="s">
        <v>0</v>
      </c>
      <c r="B1" s="5"/>
      <c r="C1" s="5"/>
      <c r="D1" s="5"/>
      <c r="G1" s="5"/>
    </row>
    <row r="2" spans="1:12" ht="15" x14ac:dyDescent="0.25">
      <c r="A2" s="8" t="s">
        <v>3</v>
      </c>
      <c r="B2" s="5"/>
      <c r="C2" s="5" t="s">
        <v>4</v>
      </c>
      <c r="D2" s="10">
        <v>0.02</v>
      </c>
      <c r="E2" s="62" t="s">
        <v>77</v>
      </c>
      <c r="F2" s="62"/>
      <c r="G2" s="5"/>
      <c r="J2" s="7" t="str">
        <f>IF(D2=0,"Tabell 2.4","Tabell 2.5")</f>
        <v>Tabell 2.5</v>
      </c>
    </row>
    <row r="3" spans="1:12" ht="15" x14ac:dyDescent="0.25">
      <c r="A3" s="5" t="s">
        <v>5</v>
      </c>
      <c r="B3" s="9">
        <v>12000</v>
      </c>
      <c r="C3" s="5" t="s">
        <v>78</v>
      </c>
      <c r="D3" s="15">
        <v>0.15</v>
      </c>
      <c r="E3" s="5" t="s">
        <v>36</v>
      </c>
      <c r="F3" s="9">
        <v>6000</v>
      </c>
      <c r="G3" s="5"/>
      <c r="H3" s="5"/>
      <c r="I3" s="62" t="s">
        <v>2</v>
      </c>
      <c r="J3" s="62"/>
      <c r="K3" s="62"/>
      <c r="L3" s="62"/>
    </row>
    <row r="4" spans="1:12" ht="15" x14ac:dyDescent="0.25">
      <c r="A4" s="8" t="s">
        <v>6</v>
      </c>
      <c r="B4" s="9">
        <v>-5500</v>
      </c>
      <c r="E4" s="5" t="s">
        <v>76</v>
      </c>
      <c r="F4" s="15">
        <v>0.06</v>
      </c>
      <c r="G4" s="5"/>
      <c r="H4" s="26"/>
      <c r="I4" s="25">
        <f>B30</f>
        <v>2019</v>
      </c>
      <c r="J4" s="25">
        <f>C30</f>
        <v>2020</v>
      </c>
      <c r="K4" s="25">
        <f>D30</f>
        <v>2021</v>
      </c>
      <c r="L4" s="25">
        <f>E30</f>
        <v>2022</v>
      </c>
    </row>
    <row r="5" spans="1:12" ht="15" x14ac:dyDescent="0.25">
      <c r="A5" s="44" t="s">
        <v>8</v>
      </c>
      <c r="B5" s="45">
        <v>-1700</v>
      </c>
      <c r="E5" s="5" t="s">
        <v>40</v>
      </c>
      <c r="F5" s="4">
        <v>3</v>
      </c>
      <c r="G5" s="5"/>
      <c r="H5" s="5" t="s">
        <v>1</v>
      </c>
      <c r="I5" s="11"/>
      <c r="J5" s="11">
        <f>$B3*B$10/1000</f>
        <v>12000</v>
      </c>
      <c r="K5" s="11">
        <f>$B3*C$10*(1+D2)/1000</f>
        <v>23256</v>
      </c>
      <c r="L5" s="11">
        <f>$B3*D$10*(1+D2)^2/1000</f>
        <v>9987.84</v>
      </c>
    </row>
    <row r="6" spans="1:12" ht="15" x14ac:dyDescent="0.25">
      <c r="A6" s="8" t="s">
        <v>9</v>
      </c>
      <c r="B6" s="11">
        <f>SUM(B3:B5)</f>
        <v>4800</v>
      </c>
      <c r="E6" s="5" t="s">
        <v>45</v>
      </c>
      <c r="F6" s="15">
        <v>0.2</v>
      </c>
      <c r="G6" s="5"/>
      <c r="H6" s="5" t="s">
        <v>7</v>
      </c>
      <c r="I6" s="11"/>
      <c r="J6" s="11">
        <f>B4*B10/1000</f>
        <v>-5500</v>
      </c>
      <c r="K6" s="11">
        <f>B4*(1+D2)*C10/1000</f>
        <v>-10659</v>
      </c>
      <c r="L6" s="11">
        <f>B4*(1+D2)^2*D10/1000</f>
        <v>-4577.76</v>
      </c>
    </row>
    <row r="7" spans="1:12" ht="15" x14ac:dyDescent="0.25">
      <c r="A7" s="5"/>
      <c r="B7" s="5"/>
      <c r="C7" s="5"/>
      <c r="D7" s="5"/>
      <c r="E7" s="5" t="s">
        <v>49</v>
      </c>
      <c r="F7" s="15">
        <v>0.22</v>
      </c>
      <c r="G7" s="5"/>
      <c r="H7" s="44" t="s">
        <v>8</v>
      </c>
      <c r="I7" s="46"/>
      <c r="J7" s="46">
        <f>$B5*B$10/1000</f>
        <v>-1700</v>
      </c>
      <c r="K7" s="46">
        <f>B5*C10*(1+D2)/1000</f>
        <v>-3294.6</v>
      </c>
      <c r="L7" s="46">
        <f>B5*D10*(1+D2)^2/1000</f>
        <v>-1414.944</v>
      </c>
    </row>
    <row r="8" spans="1:12" ht="15" x14ac:dyDescent="0.25">
      <c r="A8" s="8" t="s">
        <v>11</v>
      </c>
      <c r="B8" s="5"/>
      <c r="C8" s="6" t="s">
        <v>2</v>
      </c>
      <c r="D8" s="5"/>
      <c r="E8" s="5"/>
      <c r="F8" s="5"/>
      <c r="G8" s="5"/>
      <c r="H8" s="5" t="s">
        <v>10</v>
      </c>
      <c r="I8" s="11"/>
      <c r="J8" s="11">
        <f>SUM(J5:J7)</f>
        <v>4800</v>
      </c>
      <c r="K8" s="11">
        <f>SUM(K5:K7)</f>
        <v>9302.4</v>
      </c>
      <c r="L8" s="11">
        <f>SUM(L5:L7)</f>
        <v>3995.136</v>
      </c>
    </row>
    <row r="9" spans="1:12" ht="15" x14ac:dyDescent="0.25">
      <c r="A9" s="5"/>
      <c r="B9" s="4">
        <v>2020</v>
      </c>
      <c r="C9" s="5">
        <f>B9+1</f>
        <v>2021</v>
      </c>
      <c r="D9" s="5">
        <f>C9+1</f>
        <v>2022</v>
      </c>
      <c r="E9" s="5"/>
      <c r="F9" s="5"/>
      <c r="G9" s="5"/>
      <c r="H9" s="5" t="s">
        <v>84</v>
      </c>
      <c r="I9" s="11"/>
      <c r="J9" s="11">
        <f>E20</f>
        <v>-3055</v>
      </c>
      <c r="K9" s="11">
        <f>J9*(1+D2)</f>
        <v>-3116.1</v>
      </c>
      <c r="L9" s="11">
        <f>K9*(1+D2)</f>
        <v>-3178.422</v>
      </c>
    </row>
    <row r="10" spans="1:12" ht="15" x14ac:dyDescent="0.25">
      <c r="A10" s="5" t="s">
        <v>14</v>
      </c>
      <c r="B10" s="9">
        <v>1000</v>
      </c>
      <c r="C10" s="9">
        <v>1900</v>
      </c>
      <c r="D10" s="9">
        <v>800</v>
      </c>
      <c r="E10" s="5"/>
      <c r="F10" s="5"/>
      <c r="G10" s="5"/>
      <c r="H10" s="5" t="s">
        <v>12</v>
      </c>
      <c r="I10" s="11"/>
      <c r="J10" s="11"/>
      <c r="K10" s="11"/>
      <c r="L10" s="11"/>
    </row>
    <row r="11" spans="1:12" ht="15" x14ac:dyDescent="0.25">
      <c r="A11" s="5"/>
      <c r="B11" s="5"/>
      <c r="C11" s="5"/>
      <c r="D11" s="5"/>
      <c r="E11" s="5"/>
      <c r="F11" s="5"/>
      <c r="G11" s="5"/>
      <c r="H11" s="8" t="s">
        <v>13</v>
      </c>
      <c r="I11" s="11">
        <f>B33</f>
        <v>-1800</v>
      </c>
      <c r="J11" s="11">
        <f>C33</f>
        <v>-1688.3999999999999</v>
      </c>
      <c r="K11" s="11">
        <f>D33</f>
        <v>1990.2239999999999</v>
      </c>
      <c r="L11" s="11">
        <f>E33</f>
        <v>1498.1759999999999</v>
      </c>
    </row>
    <row r="12" spans="1:12" ht="15" x14ac:dyDescent="0.25">
      <c r="A12" s="8" t="s">
        <v>82</v>
      </c>
      <c r="B12" s="12" t="s">
        <v>17</v>
      </c>
      <c r="C12" s="12" t="s">
        <v>18</v>
      </c>
      <c r="D12" s="12" t="s">
        <v>72</v>
      </c>
      <c r="E12" s="5" t="s">
        <v>70</v>
      </c>
      <c r="F12" s="5"/>
      <c r="G12" s="5"/>
      <c r="H12" s="8" t="s">
        <v>15</v>
      </c>
      <c r="I12" s="11">
        <f>B26</f>
        <v>-8800</v>
      </c>
      <c r="J12" s="11"/>
      <c r="K12" s="11"/>
      <c r="L12" s="11">
        <f>B27*(1+D2)^2</f>
        <v>3329.2799999999997</v>
      </c>
    </row>
    <row r="13" spans="1:12" ht="15.75" thickBot="1" x14ac:dyDescent="0.3">
      <c r="B13" s="37"/>
      <c r="C13" s="37"/>
      <c r="D13" s="37"/>
      <c r="E13" s="38" t="s">
        <v>71</v>
      </c>
      <c r="F13" s="5"/>
      <c r="H13" s="24" t="s">
        <v>64</v>
      </c>
      <c r="I13" s="24">
        <f>SUM(I8:I12)</f>
        <v>-10600</v>
      </c>
      <c r="J13" s="24">
        <f>SUM(J8:J12)</f>
        <v>56.600000000000136</v>
      </c>
      <c r="K13" s="24">
        <f>SUM(K8:K12)</f>
        <v>8176.5239999999994</v>
      </c>
      <c r="L13" s="24">
        <f>SUM(L8:L12)</f>
        <v>5644.17</v>
      </c>
    </row>
    <row r="14" spans="1:12" ht="15.75" thickTop="1" x14ac:dyDescent="0.25">
      <c r="A14" s="5" t="s">
        <v>19</v>
      </c>
      <c r="B14" s="9">
        <v>3</v>
      </c>
      <c r="C14" s="13" t="s">
        <v>20</v>
      </c>
      <c r="D14" s="9">
        <v>430000</v>
      </c>
      <c r="E14" s="11">
        <f>-B14*D14/1000</f>
        <v>-1290</v>
      </c>
      <c r="F14" s="5"/>
      <c r="H14" s="5"/>
      <c r="I14" s="5"/>
      <c r="J14" s="5"/>
      <c r="K14" s="5"/>
      <c r="L14" s="5"/>
    </row>
    <row r="15" spans="1:12" ht="18" x14ac:dyDescent="0.25">
      <c r="A15" s="5" t="s">
        <v>21</v>
      </c>
      <c r="B15" s="9">
        <v>450</v>
      </c>
      <c r="C15" s="14" t="s">
        <v>22</v>
      </c>
      <c r="D15" s="9">
        <v>1500</v>
      </c>
      <c r="E15" s="11">
        <f>-B15*D15/1000</f>
        <v>-675</v>
      </c>
      <c r="F15" s="5"/>
      <c r="H15" s="5"/>
      <c r="I15" s="5"/>
      <c r="J15" s="5"/>
      <c r="K15" s="5"/>
      <c r="L15" s="5"/>
    </row>
    <row r="16" spans="1:12" ht="15" x14ac:dyDescent="0.25">
      <c r="A16" s="5" t="s">
        <v>23</v>
      </c>
      <c r="B16" s="9">
        <v>170000</v>
      </c>
      <c r="C16" s="13" t="s">
        <v>24</v>
      </c>
      <c r="D16" s="9">
        <v>1</v>
      </c>
      <c r="E16" s="11">
        <f>-B16*D16/1000</f>
        <v>-170</v>
      </c>
      <c r="F16" s="5"/>
      <c r="H16" s="5"/>
      <c r="I16" s="5"/>
      <c r="J16" s="5"/>
      <c r="K16" s="5"/>
      <c r="L16" s="5"/>
    </row>
    <row r="17" spans="1:12" ht="15" x14ac:dyDescent="0.25">
      <c r="A17" s="5" t="s">
        <v>25</v>
      </c>
      <c r="B17" s="11"/>
      <c r="C17" s="11"/>
      <c r="D17" s="11"/>
      <c r="E17" s="9">
        <v>-120</v>
      </c>
      <c r="F17" s="5"/>
      <c r="H17" s="5"/>
      <c r="I17" s="5"/>
      <c r="J17" s="5"/>
      <c r="K17" s="5"/>
      <c r="L17" s="5"/>
    </row>
    <row r="18" spans="1:12" ht="15" x14ac:dyDescent="0.25">
      <c r="A18" s="5" t="s">
        <v>26</v>
      </c>
      <c r="B18" s="11"/>
      <c r="C18" s="11"/>
      <c r="D18" s="11"/>
      <c r="E18" s="9">
        <v>-300</v>
      </c>
      <c r="F18" s="5"/>
      <c r="H18"/>
      <c r="I18"/>
      <c r="J18"/>
      <c r="K18"/>
      <c r="L18"/>
    </row>
    <row r="19" spans="1:12" ht="15" x14ac:dyDescent="0.25">
      <c r="A19" s="44" t="s">
        <v>27</v>
      </c>
      <c r="B19" s="46"/>
      <c r="C19" s="46"/>
      <c r="D19" s="46"/>
      <c r="E19" s="45">
        <v>-500</v>
      </c>
      <c r="F19" s="5"/>
      <c r="H19"/>
      <c r="I19" s="2"/>
      <c r="J19" s="2"/>
      <c r="K19" s="2"/>
      <c r="L19" s="2"/>
    </row>
    <row r="20" spans="1:12" ht="15" x14ac:dyDescent="0.25">
      <c r="A20" s="5" t="s">
        <v>83</v>
      </c>
      <c r="B20" s="11"/>
      <c r="C20" s="11"/>
      <c r="D20" s="11"/>
      <c r="E20" s="11">
        <f>SUM(E14:E19)</f>
        <v>-3055</v>
      </c>
      <c r="F20" s="27"/>
      <c r="H20"/>
      <c r="I20" s="2"/>
      <c r="K20" s="2"/>
      <c r="L20" s="2"/>
    </row>
    <row r="21" spans="1:12" ht="15" x14ac:dyDescent="0.25">
      <c r="A21" s="5"/>
      <c r="B21" s="5"/>
      <c r="C21" s="5"/>
      <c r="D21" s="5"/>
      <c r="E21" s="5"/>
      <c r="F21" s="5"/>
      <c r="G21" s="5"/>
      <c r="H21"/>
      <c r="I21" s="2"/>
      <c r="J21" s="2"/>
      <c r="K21" s="2"/>
      <c r="L21" s="2"/>
    </row>
    <row r="22" spans="1:12" ht="15" x14ac:dyDescent="0.25">
      <c r="A22" s="8" t="s">
        <v>28</v>
      </c>
      <c r="B22" s="8"/>
      <c r="C22" s="5"/>
      <c r="D22" s="5"/>
      <c r="E22" s="5"/>
      <c r="F22" s="5"/>
      <c r="G22" s="5"/>
      <c r="H22"/>
      <c r="I22" s="4"/>
      <c r="J22" s="2"/>
      <c r="K22" s="2"/>
      <c r="L22" s="2"/>
    </row>
    <row r="23" spans="1:12" ht="15" x14ac:dyDescent="0.25">
      <c r="A23" s="5" t="s">
        <v>29</v>
      </c>
      <c r="B23" s="9">
        <v>-6000</v>
      </c>
      <c r="C23" s="5"/>
      <c r="D23" s="5"/>
      <c r="E23" s="5"/>
      <c r="F23" s="5"/>
      <c r="G23" s="5"/>
      <c r="H23"/>
      <c r="I23" s="2"/>
      <c r="J23" s="2"/>
      <c r="K23" s="2"/>
      <c r="L23" s="2"/>
    </row>
    <row r="24" spans="1:12" ht="15" x14ac:dyDescent="0.25">
      <c r="A24" s="5" t="s">
        <v>30</v>
      </c>
      <c r="B24" s="9">
        <v>-1000</v>
      </c>
      <c r="C24" s="5"/>
      <c r="D24" s="5"/>
      <c r="E24" s="5"/>
      <c r="F24" s="5"/>
      <c r="G24" s="5"/>
      <c r="H24"/>
      <c r="I24" s="2"/>
      <c r="J24" s="2"/>
      <c r="K24" s="2"/>
      <c r="L24" s="2"/>
    </row>
    <row r="25" spans="1:12" ht="15" x14ac:dyDescent="0.25">
      <c r="A25" s="47" t="s">
        <v>27</v>
      </c>
      <c r="B25" s="45">
        <v>-1800</v>
      </c>
      <c r="C25" s="5"/>
      <c r="G25" s="5"/>
      <c r="H25" s="1"/>
      <c r="I25" s="2"/>
      <c r="J25" s="2"/>
      <c r="K25" s="2"/>
      <c r="L25" s="2"/>
    </row>
    <row r="26" spans="1:12" ht="15" x14ac:dyDescent="0.25">
      <c r="A26" s="8" t="s">
        <v>31</v>
      </c>
      <c r="B26" s="11">
        <f>SUM(B23:B25)</f>
        <v>-8800</v>
      </c>
      <c r="C26" s="5"/>
      <c r="D26" s="5"/>
      <c r="E26" s="5"/>
      <c r="F26" s="5"/>
      <c r="G26" s="5"/>
      <c r="H26" s="1"/>
      <c r="I26" s="2"/>
      <c r="J26" s="2"/>
      <c r="K26" s="2"/>
      <c r="L26" s="2"/>
    </row>
    <row r="27" spans="1:12" ht="15" x14ac:dyDescent="0.25">
      <c r="A27" s="5" t="s">
        <v>32</v>
      </c>
      <c r="B27" s="9">
        <v>3200</v>
      </c>
      <c r="C27" s="27"/>
      <c r="D27" s="5"/>
      <c r="E27" s="5"/>
      <c r="F27" s="5"/>
      <c r="G27" s="5"/>
      <c r="H27"/>
      <c r="I27" s="2"/>
      <c r="J27" s="2"/>
      <c r="K27" s="2"/>
      <c r="L27" s="2"/>
    </row>
    <row r="28" spans="1:12" ht="15" x14ac:dyDescent="0.25">
      <c r="A28" s="5"/>
      <c r="B28" s="4"/>
      <c r="C28" s="5"/>
      <c r="D28" s="5"/>
      <c r="E28" s="5"/>
      <c r="F28" s="5"/>
      <c r="G28" s="5"/>
      <c r="H28" s="5"/>
      <c r="I28" s="5"/>
      <c r="J28" s="5"/>
      <c r="K28" s="5"/>
      <c r="L28" s="5"/>
    </row>
    <row r="29" spans="1:12" ht="15" x14ac:dyDescent="0.25">
      <c r="A29" s="5"/>
      <c r="B29" s="62" t="s">
        <v>2</v>
      </c>
      <c r="C29" s="62"/>
      <c r="D29" s="62"/>
      <c r="E29" s="62"/>
      <c r="F29" s="5"/>
      <c r="G29" s="5"/>
      <c r="H29" s="5"/>
      <c r="I29" s="5"/>
      <c r="J29" s="5"/>
      <c r="K29" s="5"/>
      <c r="L29" s="5"/>
    </row>
    <row r="30" spans="1:12" ht="15" x14ac:dyDescent="0.25">
      <c r="A30" s="26" t="s">
        <v>33</v>
      </c>
      <c r="B30" s="30">
        <f>B9-1</f>
        <v>2019</v>
      </c>
      <c r="C30" s="30">
        <f>B30+1</f>
        <v>2020</v>
      </c>
      <c r="D30" s="30">
        <f>C30+1</f>
        <v>2021</v>
      </c>
      <c r="E30" s="30">
        <f>D30+1</f>
        <v>2022</v>
      </c>
      <c r="F30" s="5"/>
      <c r="G30" s="5"/>
      <c r="H30" s="5"/>
      <c r="I30" s="5"/>
      <c r="J30" s="5"/>
      <c r="K30" s="5"/>
      <c r="L30" s="5"/>
    </row>
    <row r="31" spans="1:12" ht="15" x14ac:dyDescent="0.25">
      <c r="A31" s="5" t="s">
        <v>1</v>
      </c>
      <c r="B31" s="11"/>
      <c r="C31" s="11">
        <f>$B$3*B10/1000</f>
        <v>12000</v>
      </c>
      <c r="D31" s="11">
        <f>B3*(1+D2)*C10/1000</f>
        <v>23256</v>
      </c>
      <c r="E31" s="11">
        <f>B3*(1+D2)^2*D10/1000</f>
        <v>9987.84</v>
      </c>
      <c r="F31" s="5"/>
      <c r="G31" s="5"/>
      <c r="H31" s="5"/>
      <c r="I31" s="5"/>
      <c r="J31" s="5"/>
      <c r="K31" s="5"/>
      <c r="L31" s="5"/>
    </row>
    <row r="32" spans="1:12" ht="15" x14ac:dyDescent="0.25">
      <c r="A32" s="5" t="s">
        <v>34</v>
      </c>
      <c r="B32" s="11">
        <f>C31*$D$3</f>
        <v>1800</v>
      </c>
      <c r="C32" s="11">
        <f>D31*$D$3</f>
        <v>3488.4</v>
      </c>
      <c r="D32" s="11">
        <f>E31*$D$3</f>
        <v>1498.1759999999999</v>
      </c>
      <c r="E32" s="11">
        <f>F31*$D$3</f>
        <v>0</v>
      </c>
      <c r="F32" s="5"/>
      <c r="G32" s="5"/>
      <c r="H32" s="5"/>
      <c r="I32" s="5"/>
      <c r="J32" s="5"/>
      <c r="K32" s="5"/>
      <c r="L32" s="5"/>
    </row>
    <row r="33" spans="1:12" ht="15" x14ac:dyDescent="0.25">
      <c r="A33" s="8" t="s">
        <v>35</v>
      </c>
      <c r="B33" s="11">
        <f>(B31-C31)*$D$3</f>
        <v>-1800</v>
      </c>
      <c r="C33" s="11">
        <f>(C31-D31)*$D$3</f>
        <v>-1688.3999999999999</v>
      </c>
      <c r="D33" s="11">
        <f>(D31-E31)*$D$3</f>
        <v>1990.2239999999999</v>
      </c>
      <c r="E33" s="11">
        <f>(E31-F31)*$D$3</f>
        <v>1498.1759999999999</v>
      </c>
      <c r="F33" s="5"/>
      <c r="G33" s="5"/>
      <c r="H33" s="5"/>
      <c r="I33" s="5"/>
      <c r="J33" s="5"/>
      <c r="K33" s="5"/>
      <c r="L33" s="5"/>
    </row>
    <row r="52" spans="8:12" x14ac:dyDescent="0.2">
      <c r="I52" s="16"/>
      <c r="K52" s="17"/>
    </row>
    <row r="54" spans="8:12" x14ac:dyDescent="0.2">
      <c r="I54" s="18"/>
      <c r="J54" s="18"/>
      <c r="K54" s="18"/>
      <c r="L54" s="18"/>
    </row>
    <row r="55" spans="8:12" x14ac:dyDescent="0.2">
      <c r="I55" s="18"/>
      <c r="J55" s="18"/>
      <c r="K55" s="18"/>
      <c r="L55" s="18"/>
    </row>
    <row r="56" spans="8:12" x14ac:dyDescent="0.2">
      <c r="H56" s="19"/>
      <c r="I56" s="18"/>
      <c r="J56" s="18"/>
      <c r="K56" s="18"/>
      <c r="L56" s="18"/>
    </row>
    <row r="57" spans="8:12" x14ac:dyDescent="0.2">
      <c r="H57" s="19"/>
      <c r="I57" s="18"/>
      <c r="J57" s="18"/>
      <c r="K57" s="18"/>
      <c r="L57" s="18"/>
    </row>
    <row r="58" spans="8:12" x14ac:dyDescent="0.2">
      <c r="I58" s="18"/>
      <c r="J58" s="18"/>
      <c r="K58" s="18"/>
      <c r="L58" s="18"/>
    </row>
    <row r="60" spans="8:12" x14ac:dyDescent="0.2">
      <c r="K60" s="20"/>
    </row>
    <row r="62" spans="8:12" x14ac:dyDescent="0.2">
      <c r="I62" s="18"/>
      <c r="J62" s="18"/>
      <c r="K62" s="18"/>
      <c r="L62" s="18"/>
    </row>
    <row r="63" spans="8:12" x14ac:dyDescent="0.2">
      <c r="I63" s="18"/>
      <c r="J63" s="18"/>
      <c r="K63" s="18"/>
      <c r="L63" s="18"/>
    </row>
    <row r="64" spans="8:12" x14ac:dyDescent="0.2">
      <c r="I64" s="18"/>
      <c r="J64" s="18"/>
      <c r="K64" s="18"/>
      <c r="L64" s="18"/>
    </row>
    <row r="65" spans="8:12" x14ac:dyDescent="0.2">
      <c r="I65" s="18"/>
      <c r="J65" s="18"/>
      <c r="K65" s="18"/>
      <c r="L65" s="18"/>
    </row>
    <row r="66" spans="8:12" x14ac:dyDescent="0.2">
      <c r="I66" s="18"/>
      <c r="J66" s="18"/>
      <c r="K66" s="18"/>
      <c r="L66" s="18"/>
    </row>
    <row r="67" spans="8:12" x14ac:dyDescent="0.2">
      <c r="I67" s="18"/>
      <c r="J67" s="18"/>
      <c r="K67" s="18"/>
      <c r="L67" s="18"/>
    </row>
    <row r="68" spans="8:12" x14ac:dyDescent="0.2">
      <c r="H68" s="19"/>
      <c r="I68" s="18"/>
      <c r="J68" s="18"/>
      <c r="K68" s="18"/>
      <c r="L68" s="18"/>
    </row>
    <row r="69" spans="8:12" x14ac:dyDescent="0.2">
      <c r="H69" s="19"/>
      <c r="I69" s="18"/>
      <c r="J69" s="18"/>
      <c r="K69" s="18"/>
      <c r="L69" s="18"/>
    </row>
    <row r="70" spans="8:12" x14ac:dyDescent="0.2">
      <c r="I70" s="18"/>
      <c r="J70" s="18"/>
      <c r="K70" s="18"/>
      <c r="L70" s="18"/>
    </row>
    <row r="72" spans="8:12" x14ac:dyDescent="0.2">
      <c r="I72" s="16"/>
    </row>
    <row r="75" spans="8:12" x14ac:dyDescent="0.2">
      <c r="H75" s="21"/>
    </row>
    <row r="76" spans="8:12" x14ac:dyDescent="0.2">
      <c r="H76" s="19"/>
    </row>
    <row r="77" spans="8:12" x14ac:dyDescent="0.2">
      <c r="H77" s="19"/>
    </row>
  </sheetData>
  <mergeCells count="3">
    <mergeCell ref="I3:L3"/>
    <mergeCell ref="B29:E29"/>
    <mergeCell ref="E2:F2"/>
  </mergeCells>
  <printOptions gridLines="1"/>
  <pageMargins left="0.75" right="0.75" top="1" bottom="1" header="0.5" footer="0.5"/>
  <pageSetup paperSize="9" orientation="portrait" r:id="rId1"/>
  <headerFooter alignWithMargins="0"/>
  <ignoredErrors>
    <ignoredError sqref="J6"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3"/>
  <sheetViews>
    <sheetView zoomScaleNormal="100" workbookViewId="0">
      <selection activeCell="D15" sqref="D15"/>
    </sheetView>
  </sheetViews>
  <sheetFormatPr baseColWidth="10" defaultColWidth="11.42578125" defaultRowHeight="12.75" x14ac:dyDescent="0.2"/>
  <cols>
    <col min="1" max="1" width="20.7109375" style="7" customWidth="1"/>
    <col min="2" max="2" width="9.42578125" style="7" bestFit="1" customWidth="1"/>
    <col min="3" max="3" width="11.85546875" style="7" bestFit="1" customWidth="1"/>
    <col min="4" max="5" width="10.140625" style="7" bestFit="1" customWidth="1"/>
    <col min="6" max="16384" width="11.42578125" style="7"/>
  </cols>
  <sheetData>
    <row r="1" spans="1:5" ht="18.95" customHeight="1" x14ac:dyDescent="0.25">
      <c r="A1" s="5" t="s">
        <v>0</v>
      </c>
      <c r="B1" s="5"/>
      <c r="C1" s="5"/>
      <c r="D1" s="5"/>
      <c r="E1" s="5"/>
    </row>
    <row r="2" spans="1:5" ht="15" x14ac:dyDescent="0.25">
      <c r="A2" s="5" t="s">
        <v>36</v>
      </c>
      <c r="B2" s="11">
        <f>'Tabell 2.4 og 2.5'!F3</f>
        <v>6000</v>
      </c>
      <c r="C2" s="8" t="s">
        <v>37</v>
      </c>
      <c r="D2" s="5"/>
      <c r="E2" s="5"/>
    </row>
    <row r="3" spans="1:5" ht="15" x14ac:dyDescent="0.25">
      <c r="A3" s="5" t="s">
        <v>38</v>
      </c>
      <c r="B3" s="43">
        <f>'Tabell 2.4 og 2.5'!F4</f>
        <v>0.06</v>
      </c>
      <c r="C3" s="5" t="s">
        <v>39</v>
      </c>
      <c r="D3" s="5"/>
      <c r="E3" s="5"/>
    </row>
    <row r="4" spans="1:5" ht="15" x14ac:dyDescent="0.25">
      <c r="A4" s="31" t="s">
        <v>40</v>
      </c>
      <c r="B4" s="31">
        <f>'Tabell 2.4 og 2.5'!F5</f>
        <v>3</v>
      </c>
      <c r="C4" s="31" t="s">
        <v>41</v>
      </c>
      <c r="D4" s="5" t="s">
        <v>53</v>
      </c>
      <c r="E4" s="5"/>
    </row>
    <row r="5" spans="1:5" ht="15" x14ac:dyDescent="0.25">
      <c r="A5" s="5"/>
      <c r="B5" s="62" t="s">
        <v>2</v>
      </c>
      <c r="C5" s="62"/>
      <c r="D5" s="62"/>
      <c r="E5" s="62"/>
    </row>
    <row r="6" spans="1:5" ht="15" x14ac:dyDescent="0.25">
      <c r="A6" s="26"/>
      <c r="B6" s="25">
        <f>'Tabell 2.4 og 2.5'!B9-1</f>
        <v>2019</v>
      </c>
      <c r="C6" s="25">
        <f>B6+1</f>
        <v>2020</v>
      </c>
      <c r="D6" s="25">
        <f t="shared" ref="D6:E6" si="0">C6+1</f>
        <v>2021</v>
      </c>
      <c r="E6" s="25">
        <f t="shared" si="0"/>
        <v>2022</v>
      </c>
    </row>
    <row r="7" spans="1:5" ht="15" x14ac:dyDescent="0.25">
      <c r="A7" s="5" t="str">
        <f>A2</f>
        <v>Lånebeløp</v>
      </c>
      <c r="B7" s="11">
        <f>B2</f>
        <v>6000</v>
      </c>
      <c r="C7" s="11"/>
      <c r="D7" s="11"/>
      <c r="E7" s="11"/>
    </row>
    <row r="8" spans="1:5" ht="15" x14ac:dyDescent="0.25">
      <c r="A8" s="5" t="s">
        <v>42</v>
      </c>
      <c r="B8" s="11"/>
      <c r="C8" s="11">
        <f>-$B$2/$B$4</f>
        <v>-2000</v>
      </c>
      <c r="D8" s="11">
        <f>-$B$2/$B$4</f>
        <v>-2000</v>
      </c>
      <c r="E8" s="11">
        <f>-$B$2/$B$4</f>
        <v>-2000</v>
      </c>
    </row>
    <row r="9" spans="1:5" ht="15" x14ac:dyDescent="0.25">
      <c r="A9" s="5" t="s">
        <v>43</v>
      </c>
      <c r="B9" s="11">
        <f>B7</f>
        <v>6000</v>
      </c>
      <c r="C9" s="11">
        <f>B9+C8</f>
        <v>4000</v>
      </c>
      <c r="D9" s="11">
        <f>C9+D8</f>
        <v>2000</v>
      </c>
      <c r="E9" s="11">
        <f>D9+E8</f>
        <v>0</v>
      </c>
    </row>
    <row r="10" spans="1:5" ht="15" x14ac:dyDescent="0.25">
      <c r="A10" s="44" t="s">
        <v>44</v>
      </c>
      <c r="B10" s="46"/>
      <c r="C10" s="46">
        <f>-B9*$B$3</f>
        <v>-360</v>
      </c>
      <c r="D10" s="46">
        <f>-C9*$B$3</f>
        <v>-240</v>
      </c>
      <c r="E10" s="46">
        <f>-D9*$B$3</f>
        <v>-120</v>
      </c>
    </row>
    <row r="11" spans="1:5" ht="15.75" thickBot="1" x14ac:dyDescent="0.3">
      <c r="A11" s="24" t="s">
        <v>65</v>
      </c>
      <c r="B11" s="24">
        <f>B7+B8+B10</f>
        <v>6000</v>
      </c>
      <c r="C11" s="24">
        <f>C7+C8+C10</f>
        <v>-2360</v>
      </c>
      <c r="D11" s="24">
        <f>D7+D8+D10</f>
        <v>-2240</v>
      </c>
      <c r="E11" s="24">
        <f>E7+E8+E10</f>
        <v>-2120</v>
      </c>
    </row>
    <row r="12" spans="1:5" ht="13.5" thickTop="1" x14ac:dyDescent="0.2"/>
    <row r="13" spans="1:5" x14ac:dyDescent="0.2">
      <c r="A13"/>
      <c r="B13"/>
      <c r="C13"/>
      <c r="D13"/>
      <c r="E13"/>
    </row>
  </sheetData>
  <mergeCells count="1">
    <mergeCell ref="B5:E5"/>
  </mergeCells>
  <printOptions gridLines="1"/>
  <pageMargins left="0.75" right="0.75" top="1" bottom="1" header="0.5" footer="0.5"/>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5"/>
  <sheetViews>
    <sheetView zoomScaleNormal="100" workbookViewId="0"/>
  </sheetViews>
  <sheetFormatPr baseColWidth="10" defaultColWidth="11.42578125" defaultRowHeight="12.75" outlineLevelRow="1" x14ac:dyDescent="0.2"/>
  <cols>
    <col min="1" max="1" width="28.5703125" customWidth="1"/>
    <col min="2" max="2" width="10.85546875" bestFit="1" customWidth="1"/>
    <col min="3" max="3" width="10.140625" bestFit="1" customWidth="1"/>
    <col min="4" max="4" width="10.85546875" bestFit="1" customWidth="1"/>
    <col min="5" max="5" width="10.140625" bestFit="1" customWidth="1"/>
  </cols>
  <sheetData>
    <row r="1" spans="1:7" ht="19.5" customHeight="1" x14ac:dyDescent="0.25">
      <c r="A1" s="3" t="s">
        <v>0</v>
      </c>
    </row>
    <row r="2" spans="1:7" ht="15" x14ac:dyDescent="0.25">
      <c r="A2" s="3"/>
      <c r="B2" s="63" t="s">
        <v>2</v>
      </c>
      <c r="C2" s="63"/>
      <c r="D2" s="63"/>
      <c r="E2" s="63"/>
    </row>
    <row r="3" spans="1:7" ht="15" x14ac:dyDescent="0.25">
      <c r="A3" s="25"/>
      <c r="B3" s="25">
        <f>'Tabell 2.4 og 2.5'!I4</f>
        <v>2019</v>
      </c>
      <c r="C3" s="25">
        <f>'Tabell 2.4 og 2.5'!J4</f>
        <v>2020</v>
      </c>
      <c r="D3" s="25">
        <f>'Tabell 2.4 og 2.5'!K4</f>
        <v>2021</v>
      </c>
      <c r="E3" s="25">
        <f>'Tabell 2.4 og 2.5'!L4</f>
        <v>2022</v>
      </c>
    </row>
    <row r="4" spans="1:7" ht="15" hidden="1" outlineLevel="1" x14ac:dyDescent="0.25">
      <c r="A4" s="3" t="str">
        <f>'Tabell 2.4 og 2.5'!H5</f>
        <v>Omsetning</v>
      </c>
      <c r="B4" s="3"/>
      <c r="C4" s="23">
        <f>'Tabell 2.4 og 2.5'!J5</f>
        <v>12000</v>
      </c>
      <c r="D4" s="23">
        <f>'Tabell 2.4 og 2.5'!K5</f>
        <v>23256</v>
      </c>
      <c r="E4" s="23">
        <f>'Tabell 2.4 og 2.5'!L5</f>
        <v>9987.84</v>
      </c>
    </row>
    <row r="5" spans="1:7" ht="15" hidden="1" outlineLevel="1" x14ac:dyDescent="0.25">
      <c r="A5" s="3" t="str">
        <f>'Tabell 2.4 og 2.5'!H6</f>
        <v>Råmaterialer</v>
      </c>
      <c r="B5" s="3"/>
      <c r="C5" s="23">
        <f>'Tabell 2.4 og 2.5'!J6</f>
        <v>-5500</v>
      </c>
      <c r="D5" s="23">
        <f>'Tabell 2.4 og 2.5'!K6</f>
        <v>-10659</v>
      </c>
      <c r="E5" s="23">
        <f>'Tabell 2.4 og 2.5'!L6</f>
        <v>-4577.76</v>
      </c>
    </row>
    <row r="6" spans="1:7" ht="15" hidden="1" outlineLevel="1" x14ac:dyDescent="0.25">
      <c r="A6" s="3" t="str">
        <f>'Tabell 2.4 og 2.5'!H7</f>
        <v>Produksjonslønn</v>
      </c>
      <c r="B6" s="3"/>
      <c r="C6" s="23">
        <f>'Tabell 2.4 og 2.5'!J7</f>
        <v>-1700</v>
      </c>
      <c r="D6" s="23">
        <f>'Tabell 2.4 og 2.5'!K7</f>
        <v>-3294.6</v>
      </c>
      <c r="E6" s="23">
        <f>'Tabell 2.4 og 2.5'!L7</f>
        <v>-1414.944</v>
      </c>
    </row>
    <row r="7" spans="1:7" ht="15" collapsed="1" x14ac:dyDescent="0.25">
      <c r="A7" s="3" t="str">
        <f>'Tabell 2.4 og 2.5'!H8</f>
        <v>Dekningsbidrag</v>
      </c>
      <c r="B7" s="3"/>
      <c r="C7" s="23">
        <f>'Tabell 2.4 og 2.5'!J8</f>
        <v>4800</v>
      </c>
      <c r="D7" s="23">
        <f>'Tabell 2.4 og 2.5'!K8</f>
        <v>9302.4</v>
      </c>
      <c r="E7" s="23">
        <f>'Tabell 2.4 og 2.5'!L8</f>
        <v>3995.136</v>
      </c>
    </row>
    <row r="8" spans="1:7" ht="15" x14ac:dyDescent="0.25">
      <c r="A8" s="3" t="str">
        <f>'Tabell 2.4 og 2.5'!H9</f>
        <v>Faste kostnader</v>
      </c>
      <c r="B8" s="23"/>
      <c r="C8" s="23">
        <f>'Tabell 2.4 og 2.5'!J9</f>
        <v>-3055</v>
      </c>
      <c r="D8" s="23">
        <f>'Tabell 2.4 og 2.5'!K9</f>
        <v>-3116.1</v>
      </c>
      <c r="E8" s="23">
        <f>'Tabell 2.4 og 2.5'!L9</f>
        <v>-3178.422</v>
      </c>
    </row>
    <row r="9" spans="1:7" ht="15" x14ac:dyDescent="0.25">
      <c r="A9" s="3" t="str">
        <f>'Tabell 2.4 og 2.5'!H10</f>
        <v>Investering</v>
      </c>
      <c r="B9" s="3"/>
      <c r="C9" s="3"/>
      <c r="D9" s="3"/>
      <c r="E9" s="3"/>
    </row>
    <row r="10" spans="1:7" ht="15" x14ac:dyDescent="0.25">
      <c r="A10" s="3" t="str">
        <f>'Tabell 2.4 og 2.5'!H11</f>
        <v xml:space="preserve">     Arbeidskapital</v>
      </c>
      <c r="B10" s="23">
        <f>'Tabell 2.4 og 2.5'!I11</f>
        <v>-1800</v>
      </c>
      <c r="C10" s="23">
        <f>'Tabell 2.4 og 2.5'!J11</f>
        <v>-1688.3999999999999</v>
      </c>
      <c r="D10" s="23">
        <f>'Tabell 2.4 og 2.5'!K11</f>
        <v>1990.2239999999999</v>
      </c>
      <c r="E10" s="23">
        <f>'Tabell 2.4 og 2.5'!L11</f>
        <v>1498.1759999999999</v>
      </c>
    </row>
    <row r="11" spans="1:7" ht="15" x14ac:dyDescent="0.25">
      <c r="A11" s="48" t="str">
        <f>'Tabell 2.4 og 2.5'!H12</f>
        <v xml:space="preserve">     Anleggskapital/restverdi</v>
      </c>
      <c r="B11" s="49">
        <f>'Tabell 2.4 og 2.5'!I12</f>
        <v>-8800</v>
      </c>
      <c r="C11" s="49"/>
      <c r="D11" s="49"/>
      <c r="E11" s="49">
        <f>'Tabell 2.4 og 2.5'!L12</f>
        <v>3329.2799999999997</v>
      </c>
      <c r="G11" s="28"/>
    </row>
    <row r="12" spans="1:7" ht="15" x14ac:dyDescent="0.25">
      <c r="A12" s="3" t="s">
        <v>68</v>
      </c>
      <c r="B12" s="23">
        <f>'Tabell 2.4 og 2.5'!I13</f>
        <v>-10600</v>
      </c>
      <c r="C12" s="23">
        <f>'Tabell 2.4 og 2.5'!J13</f>
        <v>56.600000000000136</v>
      </c>
      <c r="D12" s="23">
        <f>'Tabell 2.4 og 2.5'!K13</f>
        <v>8176.5239999999994</v>
      </c>
      <c r="E12" s="23">
        <f>'Tabell 2.4 og 2.5'!L13</f>
        <v>5644.17</v>
      </c>
      <c r="G12" s="28"/>
    </row>
    <row r="13" spans="1:7" ht="15" x14ac:dyDescent="0.25">
      <c r="A13" s="3" t="s">
        <v>65</v>
      </c>
      <c r="B13" s="49">
        <f>'Tabell 2.6'!B11</f>
        <v>6000</v>
      </c>
      <c r="C13" s="49">
        <f>'Tabell 2.6'!C11</f>
        <v>-2360</v>
      </c>
      <c r="D13" s="49">
        <f>'Tabell 2.6'!D11</f>
        <v>-2240</v>
      </c>
      <c r="E13" s="49">
        <f>'Tabell 2.6'!E11</f>
        <v>-2120</v>
      </c>
    </row>
    <row r="14" spans="1:7" ht="15" x14ac:dyDescent="0.25">
      <c r="A14" s="11" t="s">
        <v>50</v>
      </c>
      <c r="B14" s="23">
        <f>SUM(B12:B13)</f>
        <v>-4600</v>
      </c>
      <c r="C14" s="23">
        <f>SUM(C12:C13)</f>
        <v>-2303.3999999999996</v>
      </c>
      <c r="D14" s="23">
        <f>SUM(D12:D13)</f>
        <v>5936.5239999999994</v>
      </c>
      <c r="E14" s="23">
        <f>SUM(E12:E13)</f>
        <v>3524.17</v>
      </c>
    </row>
    <row r="16" spans="1:7" ht="15" x14ac:dyDescent="0.25">
      <c r="D16" s="23"/>
    </row>
    <row r="25" spans="4:4" ht="15" x14ac:dyDescent="0.25">
      <c r="D25" s="23"/>
    </row>
  </sheetData>
  <mergeCells count="1">
    <mergeCell ref="B2:E2"/>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5"/>
  <sheetViews>
    <sheetView zoomScaleNormal="100" workbookViewId="0"/>
  </sheetViews>
  <sheetFormatPr baseColWidth="10" defaultColWidth="11.42578125" defaultRowHeight="12.75" x14ac:dyDescent="0.2"/>
  <cols>
    <col min="1" max="1" width="31.7109375" customWidth="1"/>
  </cols>
  <sheetData>
    <row r="1" spans="1:8" ht="20.100000000000001" customHeight="1" x14ac:dyDescent="0.25">
      <c r="A1" s="3" t="s">
        <v>0</v>
      </c>
      <c r="B1" s="3"/>
      <c r="C1" s="3"/>
      <c r="D1" s="3"/>
      <c r="E1" s="3"/>
    </row>
    <row r="2" spans="1:8" ht="15" x14ac:dyDescent="0.25">
      <c r="A2" s="3" t="s">
        <v>45</v>
      </c>
      <c r="B2" s="51">
        <f>'Tabell 2.4 og 2.5'!F6</f>
        <v>0.2</v>
      </c>
      <c r="C2" s="3"/>
      <c r="D2" s="3"/>
      <c r="E2" s="3"/>
    </row>
    <row r="3" spans="1:8" ht="15" x14ac:dyDescent="0.25">
      <c r="A3" s="3"/>
      <c r="B3" s="63" t="s">
        <v>2</v>
      </c>
      <c r="C3" s="63"/>
      <c r="D3" s="63"/>
      <c r="E3" s="3"/>
    </row>
    <row r="4" spans="1:8" ht="15" x14ac:dyDescent="0.25">
      <c r="A4" s="25"/>
      <c r="B4" s="25">
        <f>'Tabell 2.4 og 2.5'!J4</f>
        <v>2020</v>
      </c>
      <c r="C4" s="25">
        <f>'Tabell 2.4 og 2.5'!K4</f>
        <v>2021</v>
      </c>
      <c r="D4" s="25">
        <f>'Tabell 2.4 og 2.5'!L4</f>
        <v>2022</v>
      </c>
      <c r="E4" s="3"/>
    </row>
    <row r="5" spans="1:8" ht="15" x14ac:dyDescent="0.25">
      <c r="A5" s="3" t="s">
        <v>48</v>
      </c>
      <c r="B5" s="52">
        <f>-'Tabell 2.4 og 2.5'!B26</f>
        <v>8800</v>
      </c>
      <c r="C5" s="53">
        <f>B5+B6</f>
        <v>7040</v>
      </c>
      <c r="D5" s="53">
        <f>C5+C6</f>
        <v>5632</v>
      </c>
      <c r="E5" s="3"/>
    </row>
    <row r="6" spans="1:8" ht="15" x14ac:dyDescent="0.25">
      <c r="A6" s="48" t="s">
        <v>85</v>
      </c>
      <c r="B6" s="54">
        <f>-B5*$B$2</f>
        <v>-1760</v>
      </c>
      <c r="C6" s="55">
        <f>- C5*$B$2</f>
        <v>-1408</v>
      </c>
      <c r="D6" s="55">
        <f>- D5*$B$2</f>
        <v>-1126.4000000000001</v>
      </c>
      <c r="E6" s="52">
        <f>SUM(B6:D6)</f>
        <v>-4294.3999999999996</v>
      </c>
      <c r="H6" s="2"/>
    </row>
    <row r="7" spans="1:8" ht="15" x14ac:dyDescent="0.25">
      <c r="A7" s="3" t="s">
        <v>52</v>
      </c>
      <c r="B7" s="52">
        <f>B5+B6</f>
        <v>7040</v>
      </c>
      <c r="C7" s="52">
        <f>C5+C6</f>
        <v>5632</v>
      </c>
      <c r="D7" s="52">
        <f>D5+D6</f>
        <v>4505.6000000000004</v>
      </c>
      <c r="E7" s="3"/>
    </row>
    <row r="15" spans="1:8" ht="15.75" x14ac:dyDescent="0.25">
      <c r="A15" s="34"/>
    </row>
  </sheetData>
  <mergeCells count="1">
    <mergeCell ref="B3:D3"/>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8"/>
  <sheetViews>
    <sheetView zoomScaleNormal="100" workbookViewId="0"/>
  </sheetViews>
  <sheetFormatPr baseColWidth="10" defaultColWidth="8.7109375" defaultRowHeight="12.75" outlineLevelRow="1" x14ac:dyDescent="0.2"/>
  <cols>
    <col min="1" max="1" width="26.7109375" customWidth="1"/>
    <col min="2" max="2" width="9.85546875" bestFit="1" customWidth="1"/>
    <col min="3" max="3" width="9.28515625" bestFit="1" customWidth="1"/>
    <col min="4" max="7" width="8.7109375" customWidth="1"/>
    <col min="8" max="8" width="11.28515625" customWidth="1"/>
  </cols>
  <sheetData>
    <row r="1" spans="1:9" ht="15" x14ac:dyDescent="0.25">
      <c r="A1" s="3" t="s">
        <v>0</v>
      </c>
      <c r="B1" s="63"/>
      <c r="C1" s="63"/>
      <c r="D1" s="3" t="s">
        <v>60</v>
      </c>
    </row>
    <row r="2" spans="1:9" ht="15" x14ac:dyDescent="0.25">
      <c r="A2" s="3" t="s">
        <v>79</v>
      </c>
      <c r="B2" s="56">
        <f>'Tabell 2.4 og 2.5'!L12</f>
        <v>3329.2799999999997</v>
      </c>
      <c r="C2" s="56">
        <v>5200</v>
      </c>
      <c r="D2" s="3"/>
    </row>
    <row r="3" spans="1:9" ht="15" hidden="1" outlineLevel="1" x14ac:dyDescent="0.25">
      <c r="A3" s="3" t="s">
        <v>31</v>
      </c>
      <c r="B3" s="52">
        <f>-'Tabell 2.4 og 2.5'!B26</f>
        <v>8800</v>
      </c>
      <c r="C3" s="52">
        <f>B3</f>
        <v>8800</v>
      </c>
      <c r="D3" s="3"/>
    </row>
    <row r="4" spans="1:9" ht="15" hidden="1" outlineLevel="1" x14ac:dyDescent="0.25">
      <c r="A4" s="3" t="s">
        <v>66</v>
      </c>
      <c r="B4" s="52">
        <f>'Tabell 2.8'!E6</f>
        <v>-4294.3999999999996</v>
      </c>
      <c r="C4" s="52">
        <f>B4</f>
        <v>-4294.3999999999996</v>
      </c>
      <c r="D4" s="3"/>
    </row>
    <row r="5" spans="1:9" ht="15" collapsed="1" x14ac:dyDescent="0.25">
      <c r="A5" s="57" t="s">
        <v>80</v>
      </c>
      <c r="B5" s="54">
        <f>B3+B4</f>
        <v>4505.6000000000004</v>
      </c>
      <c r="C5" s="54">
        <f>B5</f>
        <v>4505.6000000000004</v>
      </c>
      <c r="D5" s="48" t="s">
        <v>55</v>
      </c>
    </row>
    <row r="6" spans="1:9" ht="15" hidden="1" outlineLevel="1" x14ac:dyDescent="0.25">
      <c r="A6" s="3" t="s">
        <v>32</v>
      </c>
      <c r="B6" s="52">
        <f>B2</f>
        <v>3329.2799999999997</v>
      </c>
      <c r="C6" s="52">
        <v>5200</v>
      </c>
      <c r="D6" s="3"/>
    </row>
    <row r="7" spans="1:9" ht="15" collapsed="1" x14ac:dyDescent="0.25">
      <c r="A7" s="58" t="s">
        <v>81</v>
      </c>
      <c r="B7" s="52">
        <f>B6-B5</f>
        <v>-1176.3200000000006</v>
      </c>
      <c r="C7" s="52">
        <f>C6-C5</f>
        <v>694.39999999999964</v>
      </c>
      <c r="D7" s="3"/>
    </row>
    <row r="8" spans="1:9" ht="15" x14ac:dyDescent="0.25">
      <c r="A8" s="3"/>
      <c r="B8" s="3"/>
      <c r="C8" s="3"/>
      <c r="D8" s="3"/>
    </row>
    <row r="9" spans="1:9" x14ac:dyDescent="0.2">
      <c r="B9" s="2"/>
      <c r="D9" s="2"/>
    </row>
    <row r="11" spans="1:9" x14ac:dyDescent="0.2">
      <c r="A11" s="36"/>
      <c r="B11" s="64"/>
      <c r="C11" s="64"/>
    </row>
    <row r="12" spans="1:9" ht="15" x14ac:dyDescent="0.25">
      <c r="A12" s="5"/>
      <c r="B12" s="2"/>
      <c r="C12" s="2"/>
    </row>
    <row r="13" spans="1:9" ht="15" x14ac:dyDescent="0.25">
      <c r="B13" s="2"/>
      <c r="C13" s="2"/>
      <c r="H13" s="8"/>
      <c r="I13" s="11"/>
    </row>
    <row r="14" spans="1:9" x14ac:dyDescent="0.2">
      <c r="A14" s="35"/>
      <c r="B14" s="2"/>
      <c r="C14" s="2"/>
      <c r="E14" s="2"/>
    </row>
    <row r="15" spans="1:9" x14ac:dyDescent="0.2">
      <c r="B15" s="2"/>
      <c r="C15" s="2"/>
    </row>
    <row r="18" spans="3:3" ht="15" x14ac:dyDescent="0.25">
      <c r="C18" s="5"/>
    </row>
  </sheetData>
  <mergeCells count="2">
    <mergeCell ref="B11:C11"/>
    <mergeCell ref="B1:C1"/>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9"/>
  <sheetViews>
    <sheetView topLeftCell="A4" zoomScaleNormal="100" workbookViewId="0">
      <selection activeCell="H5" sqref="H5"/>
    </sheetView>
  </sheetViews>
  <sheetFormatPr baseColWidth="10" defaultColWidth="11.42578125" defaultRowHeight="12.75" x14ac:dyDescent="0.2"/>
  <cols>
    <col min="1" max="1" width="37" customWidth="1"/>
    <col min="2" max="2" width="10.85546875" bestFit="1" customWidth="1"/>
    <col min="3" max="4" width="10.7109375" bestFit="1" customWidth="1"/>
  </cols>
  <sheetData>
    <row r="1" spans="1:11" ht="20.100000000000001" customHeight="1" x14ac:dyDescent="0.25">
      <c r="A1" s="3" t="s">
        <v>0</v>
      </c>
    </row>
    <row r="2" spans="1:11" ht="15" customHeight="1" x14ac:dyDescent="0.25">
      <c r="A2" s="58" t="s">
        <v>49</v>
      </c>
      <c r="B2" s="3"/>
      <c r="C2" s="33">
        <f>'Tabell 2.4 og 2.5'!F7</f>
        <v>0.22</v>
      </c>
      <c r="D2" s="3"/>
      <c r="E2" s="3"/>
      <c r="F2" s="3"/>
    </row>
    <row r="3" spans="1:11" ht="15" x14ac:dyDescent="0.25">
      <c r="A3" s="58"/>
      <c r="B3" s="65" t="s">
        <v>2</v>
      </c>
      <c r="C3" s="65"/>
      <c r="D3" s="65"/>
      <c r="E3" s="65"/>
      <c r="F3" s="3"/>
    </row>
    <row r="4" spans="1:11" ht="15" x14ac:dyDescent="0.25">
      <c r="A4" s="58"/>
      <c r="B4" s="50">
        <f>'Tabell 2.4 og 2.5'!I4</f>
        <v>2019</v>
      </c>
      <c r="C4" s="50">
        <f>'Tabell 2.4 og 2.5'!J4</f>
        <v>2020</v>
      </c>
      <c r="D4" s="50">
        <f>'Tabell 2.4 og 2.5'!K4</f>
        <v>2021</v>
      </c>
      <c r="E4" s="50">
        <f>'Tabell 2.4 og 2.5'!L4</f>
        <v>2022</v>
      </c>
      <c r="F4" s="3" t="s">
        <v>60</v>
      </c>
    </row>
    <row r="5" spans="1:11" ht="15" x14ac:dyDescent="0.25">
      <c r="A5" s="58" t="str">
        <f>'Tabell 2.7'!A7</f>
        <v>Dekningsbidrag</v>
      </c>
      <c r="B5" s="23"/>
      <c r="C5" s="23">
        <f>'Tabell 2.7'!C7</f>
        <v>4800</v>
      </c>
      <c r="D5" s="23">
        <f>'Tabell 2.7'!D7</f>
        <v>9302.4</v>
      </c>
      <c r="E5" s="23">
        <f>'Tabell 2.7'!E7</f>
        <v>3995.136</v>
      </c>
      <c r="F5" s="3"/>
    </row>
    <row r="6" spans="1:11" ht="15" x14ac:dyDescent="0.25">
      <c r="A6" s="58" t="str">
        <f>'Tabell 2.7'!A8</f>
        <v>Faste kostnader</v>
      </c>
      <c r="B6" s="23"/>
      <c r="C6" s="23">
        <f>'Tabell 2.7'!C8</f>
        <v>-3055</v>
      </c>
      <c r="D6" s="23">
        <f>'Tabell 2.7'!D8</f>
        <v>-3116.1</v>
      </c>
      <c r="E6" s="23">
        <f>'Tabell 2.7'!E8</f>
        <v>-3178.422</v>
      </c>
      <c r="F6" s="3"/>
    </row>
    <row r="7" spans="1:11" ht="15" x14ac:dyDescent="0.25">
      <c r="A7" s="58" t="str">
        <f>'Tabell 2.7'!A9</f>
        <v>Investering</v>
      </c>
      <c r="B7" s="23"/>
      <c r="C7" s="23"/>
      <c r="D7" s="23"/>
      <c r="E7" s="23"/>
      <c r="F7" s="3"/>
    </row>
    <row r="8" spans="1:11" ht="15" x14ac:dyDescent="0.25">
      <c r="A8" s="58" t="str">
        <f>'Tabell 2.7'!A10</f>
        <v xml:space="preserve">     Arbeidskapital</v>
      </c>
      <c r="B8" s="23">
        <f>'Tabell 2.7'!B10</f>
        <v>-1800</v>
      </c>
      <c r="C8" s="23">
        <f>'Tabell 2.7'!C10</f>
        <v>-1688.3999999999999</v>
      </c>
      <c r="D8" s="23">
        <f>'Tabell 2.7'!D10</f>
        <v>1990.2239999999999</v>
      </c>
      <c r="E8" s="23">
        <f>'Tabell 2.7'!E10</f>
        <v>1498.1759999999999</v>
      </c>
      <c r="F8" s="3"/>
    </row>
    <row r="9" spans="1:11" ht="15" x14ac:dyDescent="0.25">
      <c r="A9" s="57" t="str">
        <f>'Tabell 2.7'!A11</f>
        <v xml:space="preserve">     Anleggskapital/restverdi</v>
      </c>
      <c r="B9" s="49">
        <f>'Tabell 2.7'!B11</f>
        <v>-8800</v>
      </c>
      <c r="C9" s="49"/>
      <c r="D9" s="49"/>
      <c r="E9" s="49">
        <f>'Tabell 2.7'!E11</f>
        <v>3329.2799999999997</v>
      </c>
      <c r="F9" s="48"/>
    </row>
    <row r="10" spans="1:11" ht="15" x14ac:dyDescent="0.25">
      <c r="A10" s="58" t="s">
        <v>67</v>
      </c>
      <c r="B10" s="23">
        <f>'Tabell 2.7'!B12</f>
        <v>-10600</v>
      </c>
      <c r="C10" s="23">
        <f>'Tabell 2.7'!C12</f>
        <v>56.600000000000136</v>
      </c>
      <c r="D10" s="23">
        <f>'Tabell 2.7'!D12</f>
        <v>8176.5239999999994</v>
      </c>
      <c r="E10" s="23">
        <f>'Tabell 2.7'!E12</f>
        <v>5644.17</v>
      </c>
      <c r="F10" s="3" t="s">
        <v>51</v>
      </c>
    </row>
    <row r="11" spans="1:11" ht="15" x14ac:dyDescent="0.25">
      <c r="A11" s="58" t="str">
        <f>'Tabell 2.6'!A7</f>
        <v>Lånebeløp</v>
      </c>
      <c r="B11" s="23">
        <f>'Tabell 2.6'!B7</f>
        <v>6000</v>
      </c>
      <c r="C11" s="23">
        <f>'Tabell 2.6'!C7</f>
        <v>0</v>
      </c>
      <c r="D11" s="23">
        <f>'Tabell 2.6'!D7</f>
        <v>0</v>
      </c>
      <c r="E11" s="23">
        <f>'Tabell 2.6'!E7</f>
        <v>0</v>
      </c>
      <c r="F11" s="3"/>
    </row>
    <row r="12" spans="1:11" ht="15" x14ac:dyDescent="0.25">
      <c r="A12" s="58" t="str">
        <f>'Tabell 2.6'!A8</f>
        <v>Avdrag</v>
      </c>
      <c r="B12" s="23"/>
      <c r="C12" s="23">
        <f>'Tabell 2.6'!C8</f>
        <v>-2000</v>
      </c>
      <c r="D12" s="23">
        <f>'Tabell 2.6'!D8</f>
        <v>-2000</v>
      </c>
      <c r="E12" s="23">
        <f>'Tabell 2.6'!E8</f>
        <v>-2000</v>
      </c>
      <c r="F12" s="3"/>
      <c r="K12" s="1"/>
    </row>
    <row r="13" spans="1:11" ht="15" x14ac:dyDescent="0.25">
      <c r="A13" s="57" t="str">
        <f>'Tabell 2.6'!A10</f>
        <v>Renter</v>
      </c>
      <c r="B13" s="48"/>
      <c r="C13" s="48">
        <f>'Tabell 2.6'!C10</f>
        <v>-360</v>
      </c>
      <c r="D13" s="48">
        <f>'Tabell 2.6'!D10</f>
        <v>-240</v>
      </c>
      <c r="E13" s="48">
        <f>'Tabell 2.6'!E10</f>
        <v>-120</v>
      </c>
      <c r="F13" s="48"/>
    </row>
    <row r="14" spans="1:11" ht="15" x14ac:dyDescent="0.25">
      <c r="A14" s="58" t="s">
        <v>62</v>
      </c>
      <c r="B14" s="23">
        <f>'Tabell 2.7'!B14</f>
        <v>-4600</v>
      </c>
      <c r="C14" s="23">
        <f>'Tabell 2.7'!C14</f>
        <v>-2303.3999999999996</v>
      </c>
      <c r="D14" s="23">
        <f>'Tabell 2.7'!D14</f>
        <v>5936.5239999999994</v>
      </c>
      <c r="E14" s="23">
        <f>'Tabell 2.7'!E14</f>
        <v>3524.17</v>
      </c>
      <c r="F14" s="3" t="s">
        <v>75</v>
      </c>
    </row>
    <row r="15" spans="1:11" ht="15" x14ac:dyDescent="0.25">
      <c r="A15" s="58" t="s">
        <v>69</v>
      </c>
      <c r="B15" s="3"/>
      <c r="C15" s="23">
        <f>'Tabell 2.8'!B6</f>
        <v>-1760</v>
      </c>
      <c r="D15" s="23">
        <f>'Tabell 2.8'!C6</f>
        <v>-1408</v>
      </c>
      <c r="E15" s="23">
        <f>'Tabell 2.8'!D6</f>
        <v>-1126.4000000000001</v>
      </c>
      <c r="F15" s="3"/>
    </row>
    <row r="16" spans="1:11" ht="15" x14ac:dyDescent="0.25">
      <c r="A16" s="58" t="s">
        <v>61</v>
      </c>
      <c r="B16" s="29"/>
      <c r="C16" s="29"/>
      <c r="D16" s="29"/>
      <c r="E16" s="29">
        <f>'Tabell 2.9'!B7</f>
        <v>-1176.3200000000006</v>
      </c>
      <c r="F16" s="3" t="s">
        <v>56</v>
      </c>
    </row>
    <row r="17" spans="1:7" ht="15" x14ac:dyDescent="0.25">
      <c r="A17" s="58" t="s">
        <v>46</v>
      </c>
      <c r="B17" s="3"/>
      <c r="C17" s="59">
        <f>C5+C6+C13+C15</f>
        <v>-375</v>
      </c>
      <c r="D17" s="59">
        <f>D5+D6+D13+D15</f>
        <v>4538.2999999999993</v>
      </c>
      <c r="E17" s="59">
        <f>E5+E6+E13+E15+E16</f>
        <v>-1606.0060000000008</v>
      </c>
      <c r="F17" s="3"/>
      <c r="G17" s="29"/>
    </row>
    <row r="18" spans="1:7" ht="15" x14ac:dyDescent="0.25">
      <c r="A18" s="57" t="s">
        <v>47</v>
      </c>
      <c r="B18" s="48"/>
      <c r="C18" s="60">
        <f>-C17*$C$2</f>
        <v>82.5</v>
      </c>
      <c r="D18" s="60">
        <f>-D17*$C$2</f>
        <v>-998.42599999999982</v>
      </c>
      <c r="E18" s="60">
        <f>-E17*$C$2</f>
        <v>353.32132000000018</v>
      </c>
      <c r="F18" s="48"/>
    </row>
    <row r="19" spans="1:7" ht="15" x14ac:dyDescent="0.25">
      <c r="A19" s="58" t="s">
        <v>54</v>
      </c>
      <c r="B19" s="59">
        <f>B14</f>
        <v>-4600</v>
      </c>
      <c r="C19" s="59">
        <f>C14+C18</f>
        <v>-2220.8999999999996</v>
      </c>
      <c r="D19" s="59">
        <f>D14+D18</f>
        <v>4938.098</v>
      </c>
      <c r="E19" s="59">
        <f>E14+E18</f>
        <v>3877.4913200000001</v>
      </c>
      <c r="F19" s="3"/>
    </row>
  </sheetData>
  <mergeCells count="1">
    <mergeCell ref="B3:E3"/>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9"/>
  <sheetViews>
    <sheetView zoomScaleNormal="100" workbookViewId="0"/>
  </sheetViews>
  <sheetFormatPr baseColWidth="10" defaultColWidth="11.42578125" defaultRowHeight="12.75" outlineLevelRow="1" x14ac:dyDescent="0.2"/>
  <cols>
    <col min="1" max="1" width="35" customWidth="1"/>
    <col min="2" max="2" width="11.140625" bestFit="1" customWidth="1"/>
    <col min="3" max="3" width="10.42578125" bestFit="1" customWidth="1"/>
    <col min="4" max="4" width="11.140625" bestFit="1" customWidth="1"/>
    <col min="5" max="5" width="10.42578125" bestFit="1" customWidth="1"/>
    <col min="6" max="6" width="10" customWidth="1"/>
  </cols>
  <sheetData>
    <row r="1" spans="1:8" ht="15" x14ac:dyDescent="0.25">
      <c r="A1" s="3" t="s">
        <v>0</v>
      </c>
      <c r="B1" s="3"/>
      <c r="C1" s="3"/>
      <c r="D1" s="3"/>
      <c r="E1" s="3"/>
      <c r="F1" s="3"/>
    </row>
    <row r="2" spans="1:8" ht="15" x14ac:dyDescent="0.25">
      <c r="A2" s="3"/>
      <c r="B2" s="66" t="str">
        <f>'Tabell 2.7'!B2:E2</f>
        <v>År</v>
      </c>
      <c r="C2" s="66"/>
      <c r="D2" s="66"/>
      <c r="E2" s="66"/>
      <c r="F2" s="3"/>
    </row>
    <row r="3" spans="1:8" ht="15" x14ac:dyDescent="0.25">
      <c r="A3" s="25"/>
      <c r="B3" s="25">
        <f>'Tabell 2.4 og 2.5'!I4</f>
        <v>2019</v>
      </c>
      <c r="C3" s="25">
        <f>'Tabell 2.8'!B4</f>
        <v>2020</v>
      </c>
      <c r="D3" s="25">
        <f>'Tabell 2.8'!C4</f>
        <v>2021</v>
      </c>
      <c r="E3" s="25">
        <f>'Tabell 2.8'!D4</f>
        <v>2022</v>
      </c>
      <c r="F3" s="3" t="s">
        <v>60</v>
      </c>
    </row>
    <row r="4" spans="1:8" ht="15" x14ac:dyDescent="0.25">
      <c r="A4" s="58" t="str">
        <f>'Tabell 2.4 og 2.5'!H8</f>
        <v>Dekningsbidrag</v>
      </c>
      <c r="B4" s="13"/>
      <c r="C4" s="13">
        <f>'Tabell 2.4 og 2.5'!J8</f>
        <v>4800</v>
      </c>
      <c r="D4" s="13">
        <f>'Tabell 2.4 og 2.5'!K8</f>
        <v>9302.4</v>
      </c>
      <c r="E4" s="13">
        <f>'Tabell 2.4 og 2.5'!L8</f>
        <v>3995.136</v>
      </c>
      <c r="F4" s="3"/>
    </row>
    <row r="5" spans="1:8" ht="15" x14ac:dyDescent="0.25">
      <c r="A5" s="58" t="str">
        <f>'Tabell 2.4 og 2.5'!H9</f>
        <v>Faste kostnader</v>
      </c>
      <c r="B5" s="13"/>
      <c r="C5" s="13">
        <f>'Tabell 2.4 og 2.5'!J9</f>
        <v>-3055</v>
      </c>
      <c r="D5" s="13">
        <f>'Tabell 2.4 og 2.5'!K9</f>
        <v>-3116.1</v>
      </c>
      <c r="E5" s="13">
        <f>'Tabell 2.4 og 2.5'!L9</f>
        <v>-3178.422</v>
      </c>
      <c r="F5" s="3"/>
    </row>
    <row r="6" spans="1:8" ht="15" x14ac:dyDescent="0.25">
      <c r="A6" s="58" t="str">
        <f>'Tabell 2.4 og 2.5'!H10</f>
        <v>Investering</v>
      </c>
      <c r="B6" s="13"/>
      <c r="C6" s="13"/>
      <c r="D6" s="13"/>
      <c r="E6" s="13"/>
      <c r="F6" s="3"/>
    </row>
    <row r="7" spans="1:8" ht="15" x14ac:dyDescent="0.25">
      <c r="A7" s="58" t="str">
        <f>'Tabell 2.4 og 2.5'!H11</f>
        <v xml:space="preserve">     Arbeidskapital</v>
      </c>
      <c r="B7" s="13">
        <f>'Tabell 2.4 og 2.5'!I11</f>
        <v>-1800</v>
      </c>
      <c r="C7" s="13">
        <f>'Tabell 2.4 og 2.5'!J11</f>
        <v>-1688.3999999999999</v>
      </c>
      <c r="D7" s="13">
        <f>'Tabell 2.4 og 2.5'!K11</f>
        <v>1990.2239999999999</v>
      </c>
      <c r="E7" s="13">
        <f>'Tabell 2.4 og 2.5'!L11</f>
        <v>1498.1759999999999</v>
      </c>
      <c r="F7" s="3"/>
    </row>
    <row r="8" spans="1:8" ht="15" x14ac:dyDescent="0.25">
      <c r="A8" s="57" t="str">
        <f>'Tabell 2.4 og 2.5'!H12</f>
        <v xml:space="preserve">     Anleggskapital/restverdi</v>
      </c>
      <c r="B8" s="25">
        <f>'Tabell 2.4 og 2.5'!I12</f>
        <v>-8800</v>
      </c>
      <c r="C8" s="25">
        <f>'Tabell 2.4 og 2.5'!J12</f>
        <v>0</v>
      </c>
      <c r="D8" s="25">
        <f>'Tabell 2.4 og 2.5'!K12</f>
        <v>0</v>
      </c>
      <c r="E8" s="25">
        <f>'Tabell 2.4 og 2.5'!L12</f>
        <v>3329.2799999999997</v>
      </c>
      <c r="F8" s="48"/>
    </row>
    <row r="9" spans="1:8" ht="15" x14ac:dyDescent="0.25">
      <c r="A9" s="58" t="s">
        <v>67</v>
      </c>
      <c r="B9" s="13">
        <f>SUM(B4:B8)</f>
        <v>-10600</v>
      </c>
      <c r="C9" s="13">
        <f>SUM(C4:C8)</f>
        <v>56.600000000000136</v>
      </c>
      <c r="D9" s="13">
        <f>SUM(D4:D8)</f>
        <v>8176.5239999999994</v>
      </c>
      <c r="E9" s="13">
        <f>SUM(E4:E8)</f>
        <v>5644.17</v>
      </c>
      <c r="F9" s="3" t="s">
        <v>51</v>
      </c>
    </row>
    <row r="10" spans="1:8" ht="15" x14ac:dyDescent="0.25">
      <c r="A10" s="58" t="s">
        <v>69</v>
      </c>
      <c r="B10" s="23"/>
      <c r="C10" s="23">
        <f>'Tabell 2.8'!B6</f>
        <v>-1760</v>
      </c>
      <c r="D10" s="23">
        <f>'Tabell 2.8'!C6</f>
        <v>-1408</v>
      </c>
      <c r="E10" s="23">
        <f>'Tabell 2.8'!D6</f>
        <v>-1126.4000000000001</v>
      </c>
      <c r="F10" s="3" t="s">
        <v>55</v>
      </c>
    </row>
    <row r="11" spans="1:8" ht="15" x14ac:dyDescent="0.25">
      <c r="A11" s="58" t="s">
        <v>63</v>
      </c>
      <c r="B11" s="23"/>
      <c r="C11" s="23"/>
      <c r="D11" s="23"/>
      <c r="E11" s="23">
        <f>'Tabell 2.9'!B7</f>
        <v>-1176.3200000000006</v>
      </c>
      <c r="F11" s="3" t="s">
        <v>56</v>
      </c>
    </row>
    <row r="12" spans="1:8" ht="15" x14ac:dyDescent="0.25">
      <c r="A12" s="58" t="s">
        <v>46</v>
      </c>
      <c r="B12" s="23"/>
      <c r="C12" s="23">
        <f>C4+C5+C10</f>
        <v>-15</v>
      </c>
      <c r="D12" s="23">
        <f>D4+D5+D10</f>
        <v>4778.2999999999993</v>
      </c>
      <c r="E12" s="23">
        <f>E4+E5+E10+E11</f>
        <v>-1486.0060000000008</v>
      </c>
      <c r="F12" s="3"/>
    </row>
    <row r="13" spans="1:8" ht="15" x14ac:dyDescent="0.25">
      <c r="A13" s="57" t="s">
        <v>47</v>
      </c>
      <c r="B13" s="49"/>
      <c r="C13" s="49">
        <f>-C12*'Tabell 2.4 og 2.5'!$F$7</f>
        <v>3.3</v>
      </c>
      <c r="D13" s="49">
        <f>-D12*'Tabell 2.4 og 2.5'!$F$7</f>
        <v>-1051.2259999999999</v>
      </c>
      <c r="E13" s="49">
        <f>-E12*'Tabell 2.4 og 2.5'!$F$7</f>
        <v>326.92132000000015</v>
      </c>
      <c r="F13" s="48"/>
    </row>
    <row r="14" spans="1:8" ht="15" x14ac:dyDescent="0.25">
      <c r="A14" s="58" t="s">
        <v>59</v>
      </c>
      <c r="B14" s="23">
        <f>B9+B13</f>
        <v>-10600</v>
      </c>
      <c r="C14" s="23">
        <f>C9+C13</f>
        <v>59.900000000000134</v>
      </c>
      <c r="D14" s="23">
        <f>D9+D13</f>
        <v>7125.2979999999998</v>
      </c>
      <c r="E14" s="23">
        <f>E9+E13</f>
        <v>5971.0913200000005</v>
      </c>
      <c r="F14" s="3"/>
      <c r="H14" s="2"/>
    </row>
    <row r="15" spans="1:8" ht="15" x14ac:dyDescent="0.25">
      <c r="A15" s="3"/>
      <c r="B15" s="23"/>
      <c r="C15" s="23"/>
      <c r="D15" s="23"/>
      <c r="E15" s="23"/>
      <c r="F15" s="22"/>
      <c r="H15" s="2"/>
    </row>
    <row r="16" spans="1:8" ht="15" x14ac:dyDescent="0.25">
      <c r="A16" s="3"/>
      <c r="B16" s="23"/>
      <c r="C16" s="23"/>
      <c r="D16" s="23"/>
      <c r="E16" s="23"/>
      <c r="H16" s="2"/>
    </row>
    <row r="17" spans="1:6" ht="15" x14ac:dyDescent="0.25">
      <c r="A17" s="3"/>
      <c r="B17" s="23"/>
      <c r="C17" s="23"/>
      <c r="D17" s="23"/>
      <c r="E17" s="23"/>
    </row>
    <row r="18" spans="1:6" ht="15" x14ac:dyDescent="0.25">
      <c r="A18" s="3"/>
      <c r="B18" s="23"/>
      <c r="C18" s="23"/>
      <c r="D18" s="23"/>
      <c r="E18" s="23"/>
    </row>
    <row r="19" spans="1:6" ht="15" x14ac:dyDescent="0.25">
      <c r="A19" s="3"/>
      <c r="B19" s="28"/>
      <c r="C19" s="28"/>
      <c r="D19" s="28"/>
      <c r="E19" s="28"/>
    </row>
    <row r="21" spans="1:6" x14ac:dyDescent="0.2">
      <c r="B21" s="67"/>
      <c r="C21" s="67"/>
      <c r="D21" s="67"/>
      <c r="E21" s="67"/>
    </row>
    <row r="22" spans="1:6" x14ac:dyDescent="0.2">
      <c r="B22" s="2"/>
      <c r="C22" s="2"/>
      <c r="D22" s="2"/>
      <c r="E22" s="2"/>
    </row>
    <row r="23" spans="1:6" ht="15" hidden="1" outlineLevel="1" x14ac:dyDescent="0.25">
      <c r="A23" s="3"/>
      <c r="B23" s="23"/>
      <c r="C23" s="23"/>
      <c r="D23" s="23"/>
      <c r="E23" s="23"/>
      <c r="F23" t="s">
        <v>57</v>
      </c>
    </row>
    <row r="24" spans="1:6" ht="15" hidden="1" outlineLevel="1" x14ac:dyDescent="0.25">
      <c r="A24" s="3"/>
      <c r="B24" s="28"/>
      <c r="C24" s="28"/>
      <c r="D24" s="28"/>
      <c r="E24" s="28"/>
      <c r="F24" t="s">
        <v>58</v>
      </c>
    </row>
    <row r="25" spans="1:6" ht="15" hidden="1" outlineLevel="1" x14ac:dyDescent="0.25">
      <c r="A25" s="3"/>
      <c r="B25" s="28"/>
      <c r="C25" s="28"/>
      <c r="D25" s="28"/>
      <c r="E25" s="28"/>
    </row>
    <row r="26" spans="1:6" ht="15" collapsed="1" x14ac:dyDescent="0.25">
      <c r="A26" s="3"/>
    </row>
    <row r="27" spans="1:6" ht="15" x14ac:dyDescent="0.25">
      <c r="A27" s="3"/>
      <c r="C27" s="32"/>
      <c r="D27" s="32"/>
      <c r="E27" s="32"/>
    </row>
    <row r="28" spans="1:6" x14ac:dyDescent="0.2">
      <c r="C28" s="2"/>
      <c r="D28" s="2"/>
      <c r="E28" s="2"/>
    </row>
    <row r="29" spans="1:6" ht="15" x14ac:dyDescent="0.25">
      <c r="A29" s="3"/>
      <c r="C29" s="2"/>
      <c r="D29" s="2"/>
      <c r="E29" s="2"/>
    </row>
  </sheetData>
  <mergeCells count="2">
    <mergeCell ref="B2:E2"/>
    <mergeCell ref="B21:E21"/>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 Tabell 2.1 og Figur 2.2</vt:lpstr>
      <vt:lpstr>Tabell 2.4 og 2.5</vt:lpstr>
      <vt:lpstr>Tabell 2.6</vt:lpstr>
      <vt:lpstr>Tabell 2.7</vt:lpstr>
      <vt:lpstr>Tabell 2.8</vt:lpstr>
      <vt:lpstr>Tabell 2.9</vt:lpstr>
      <vt:lpstr>Tabell 2.10</vt:lpstr>
      <vt:lpstr>Tabell 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 Ivar Gjærum</dc:creator>
  <cp:lastModifiedBy>Malgorzata Golinska</cp:lastModifiedBy>
  <dcterms:created xsi:type="dcterms:W3CDTF">2009-06-09T10:59:07Z</dcterms:created>
  <dcterms:modified xsi:type="dcterms:W3CDTF">2020-01-22T08:16:03Z</dcterms:modified>
</cp:coreProperties>
</file>