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comments2.xml" ContentType="application/vnd.openxmlformats-officedocument.spreadsheetml.comments+xml"/>
  <Override PartName="/xl/charts/chart2.xml" ContentType="application/vnd.openxmlformats-officedocument.drawingml.chart+xml"/>
  <Override PartName="/xl/drawings/drawing4.xml" ContentType="application/vnd.openxmlformats-officedocument.drawing+xml"/>
  <Override PartName="/xl/comments3.xml" ContentType="application/vnd.openxmlformats-officedocument.spreadsheetml.comments+xml"/>
  <Override PartName="/xl/charts/chart3.xml" ContentType="application/vnd.openxmlformats-officedocument.drawingml.chart+xml"/>
  <Override PartName="/xl/drawings/drawing5.xml" ContentType="application/vnd.openxmlformats-officedocument.drawing+xml"/>
  <Override PartName="/xl/drawings/drawing6.xml" ContentType="application/vnd.openxmlformats-officedocument.drawing+xml"/>
  <Override PartName="/xl/charts/chart4.xml" ContentType="application/vnd.openxmlformats-officedocument.drawingml.chart+xml"/>
  <Override PartName="/xl/drawings/drawing7.xml" ContentType="application/vnd.openxmlformats-officedocument.drawing+xml"/>
  <Override PartName="/xl/charts/chart5.xml" ContentType="application/vnd.openxmlformats-officedocument.drawingml.chart+xml"/>
  <Override PartName="/xl/drawings/drawing8.xml" ContentType="application/vnd.openxmlformats-officedocument.drawing+xml"/>
  <Override PartName="/xl/charts/chart6.xml" ContentType="application/vnd.openxmlformats-officedocument.drawingml.chart+xml"/>
  <Override PartName="/xl/drawings/drawing9.xml" ContentType="application/vnd.openxmlformats-officedocument.drawing+xml"/>
  <Override PartName="/xl/charts/chart7.xml" ContentType="application/vnd.openxmlformats-officedocument.drawingml.chart+xml"/>
  <Override PartName="/xl/drawings/drawing10.xml" ContentType="application/vnd.openxmlformats-officedocument.drawing+xml"/>
  <Override PartName="/xl/charts/chart8.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325"/>
  <workbookPr defaultThemeVersion="124226"/>
  <mc:AlternateContent xmlns:mc="http://schemas.openxmlformats.org/markup-compatibility/2006">
    <mc:Choice Requires="x15">
      <x15ac:absPath xmlns:x15ac="http://schemas.microsoft.com/office/spreadsheetml/2010/11/ac" url="C:\Users\malgorzatag\Downloads\"/>
    </mc:Choice>
  </mc:AlternateContent>
  <xr:revisionPtr revIDLastSave="0" documentId="13_ncr:1_{025E341B-59DE-491D-9C00-7F080BCDE768}" xr6:coauthVersionLast="45" xr6:coauthVersionMax="45" xr10:uidLastSave="{00000000-0000-0000-0000-000000000000}"/>
  <bookViews>
    <workbookView xWindow="390" yWindow="390" windowWidth="23415" windowHeight="15225" activeTab="4" xr2:uid="{00000000-000D-0000-FFFF-FFFF00000000}"/>
  </bookViews>
  <sheets>
    <sheet name="Oppgave 5.1" sheetId="30" r:id="rId1"/>
    <sheet name="Oppgave 5.2" sheetId="31" r:id="rId2"/>
    <sheet name="Oppgave 5.3" sheetId="32" r:id="rId3"/>
    <sheet name="Oppgave 5.4a" sheetId="28" r:id="rId4"/>
    <sheet name="Oppgave 5.4b" sheetId="29" r:id="rId5"/>
    <sheet name="Oppgave 5.5b" sheetId="33" r:id="rId6"/>
    <sheet name="Oppgave 5.6" sheetId="6" r:id="rId7"/>
    <sheet name="Oppgave 5.7" sheetId="20" r:id="rId8"/>
    <sheet name="Oppgave 5.8" sheetId="21" r:id="rId9"/>
    <sheet name="Oppgave 5.9" sheetId="18" r:id="rId10"/>
    <sheet name="Oppgave 5.10" sheetId="22" r:id="rId11"/>
    <sheet name="Oppgave 5.11" sheetId="24" r:id="rId12"/>
    <sheet name="Oppgave 5.11d" sheetId="23" r:id="rId13"/>
    <sheet name="Leasing_nettside" sheetId="2" r:id="rId14"/>
    <sheet name="Gamle 5.8" sheetId="1" r:id="rId15"/>
    <sheet name="Sheet9" sheetId="9" r:id="rId16"/>
    <sheet name="Sheet10" sheetId="10" r:id="rId17"/>
    <sheet name="Sheet11" sheetId="11" r:id="rId18"/>
    <sheet name="Sheet12" sheetId="12" r:id="rId19"/>
    <sheet name="Sheet13" sheetId="13" r:id="rId20"/>
    <sheet name="Sheet14" sheetId="14" r:id="rId21"/>
    <sheet name="Sheet15" sheetId="15" r:id="rId22"/>
    <sheet name="Sheet16" sheetId="16" r:id="rId2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7" i="29" l="1"/>
  <c r="D7" i="29"/>
  <c r="E7" i="29"/>
  <c r="B7" i="29"/>
  <c r="C7" i="28"/>
  <c r="D7" i="28"/>
  <c r="E7" i="28"/>
  <c r="B7" i="28"/>
  <c r="Q4" i="29" l="1"/>
  <c r="R4" i="29" s="1"/>
  <c r="S4" i="29" s="1"/>
  <c r="P7" i="29"/>
  <c r="Q7" i="29"/>
  <c r="R7" i="29"/>
  <c r="S7" i="29"/>
  <c r="F6" i="28"/>
  <c r="C12" i="28" s="1"/>
  <c r="F5" i="28"/>
  <c r="C11" i="28" s="1"/>
  <c r="B6" i="33"/>
  <c r="F6" i="29"/>
  <c r="C2" i="32"/>
  <c r="D2" i="32" s="1"/>
  <c r="E2" i="32" s="1"/>
  <c r="F2" i="32" s="1"/>
  <c r="G2" i="32" s="1"/>
  <c r="H2" i="32" s="1"/>
  <c r="I2" i="32" s="1"/>
  <c r="J2" i="32" s="1"/>
  <c r="K2" i="32" s="1"/>
  <c r="L2" i="32" s="1"/>
  <c r="B15" i="31"/>
  <c r="A15" i="31"/>
  <c r="E14" i="31"/>
  <c r="D14" i="31"/>
  <c r="C14" i="31"/>
  <c r="B14" i="31"/>
  <c r="A14" i="31"/>
  <c r="E13" i="31"/>
  <c r="D13" i="31"/>
  <c r="C13" i="31"/>
  <c r="H13" i="31" s="1"/>
  <c r="B13" i="31"/>
  <c r="A13" i="31"/>
  <c r="E12" i="31"/>
  <c r="D12" i="31"/>
  <c r="C12" i="31"/>
  <c r="B12" i="31"/>
  <c r="A12" i="31"/>
  <c r="E11" i="31"/>
  <c r="D11" i="31"/>
  <c r="C11" i="31"/>
  <c r="B11" i="31"/>
  <c r="A11" i="31"/>
  <c r="E10" i="31"/>
  <c r="C10" i="31"/>
  <c r="B10" i="31"/>
  <c r="A10" i="31"/>
  <c r="G6" i="31"/>
  <c r="F6" i="31"/>
  <c r="G5" i="31"/>
  <c r="F5" i="31"/>
  <c r="G4" i="31"/>
  <c r="F4" i="31"/>
  <c r="G3" i="31"/>
  <c r="F3" i="31"/>
  <c r="B15" i="30"/>
  <c r="B14" i="30"/>
  <c r="B10" i="30"/>
  <c r="H5" i="30"/>
  <c r="H6" i="30" s="1"/>
  <c r="G5" i="30"/>
  <c r="G6" i="30" s="1"/>
  <c r="F5" i="30"/>
  <c r="F6" i="30" s="1"/>
  <c r="E5" i="30"/>
  <c r="E6" i="30" s="1"/>
  <c r="D5" i="30"/>
  <c r="D6" i="30" s="1"/>
  <c r="C5" i="30"/>
  <c r="C6" i="30" s="1"/>
  <c r="B5" i="30"/>
  <c r="B6" i="30" s="1"/>
  <c r="A20" i="22"/>
  <c r="B26" i="29"/>
  <c r="A13" i="29"/>
  <c r="A12" i="29"/>
  <c r="A11" i="29"/>
  <c r="D10" i="29"/>
  <c r="B10" i="29"/>
  <c r="C4" i="29"/>
  <c r="D4" i="29" s="1"/>
  <c r="E4" i="29" s="1"/>
  <c r="B26" i="28"/>
  <c r="A13" i="28"/>
  <c r="A12" i="28"/>
  <c r="A11" i="28"/>
  <c r="D10" i="28"/>
  <c r="B10" i="28"/>
  <c r="F7" i="28"/>
  <c r="C13" i="28" s="1"/>
  <c r="C4" i="28"/>
  <c r="D4" i="28" s="1"/>
  <c r="E4" i="28" s="1"/>
  <c r="F24" i="24"/>
  <c r="F23" i="24"/>
  <c r="F22" i="24"/>
  <c r="F21" i="24"/>
  <c r="F20" i="24"/>
  <c r="F19" i="24"/>
  <c r="B18" i="23"/>
  <c r="B17" i="23"/>
  <c r="B16" i="23"/>
  <c r="B15" i="23"/>
  <c r="B14" i="23"/>
  <c r="B13" i="23"/>
  <c r="B12" i="23"/>
  <c r="B11" i="23"/>
  <c r="B10" i="23"/>
  <c r="B9" i="23"/>
  <c r="B8" i="23"/>
  <c r="B7" i="23"/>
  <c r="B6" i="23"/>
  <c r="B23" i="22"/>
  <c r="H13" i="22"/>
  <c r="G13" i="22"/>
  <c r="G15" i="22" s="1"/>
  <c r="H20" i="22" s="1"/>
  <c r="F13" i="22"/>
  <c r="F15" i="22" s="1"/>
  <c r="G20" i="22" s="1"/>
  <c r="E13" i="22"/>
  <c r="E15" i="22"/>
  <c r="F20" i="22" s="1"/>
  <c r="D13" i="22"/>
  <c r="D15" i="22" s="1"/>
  <c r="E20" i="22" s="1"/>
  <c r="C13" i="22"/>
  <c r="C15" i="22" s="1"/>
  <c r="D20" i="22" s="1"/>
  <c r="B13" i="22"/>
  <c r="B15" i="22" s="1"/>
  <c r="H14" i="22"/>
  <c r="G26" i="21"/>
  <c r="G25" i="21"/>
  <c r="F27" i="21"/>
  <c r="E27" i="21"/>
  <c r="D27" i="21"/>
  <c r="C27" i="21"/>
  <c r="B27" i="21"/>
  <c r="B8" i="21"/>
  <c r="C8" i="21" s="1"/>
  <c r="D8" i="21" s="1"/>
  <c r="E8" i="21" s="1"/>
  <c r="F8" i="21" s="1"/>
  <c r="B34" i="20"/>
  <c r="B36" i="20" s="1"/>
  <c r="H26" i="20"/>
  <c r="B19" i="20"/>
  <c r="C21" i="20" s="1"/>
  <c r="B10" i="20"/>
  <c r="C12" i="20" s="1"/>
  <c r="B7" i="20"/>
  <c r="AB8" i="2"/>
  <c r="AJ8" i="2"/>
  <c r="AJ9" i="2" s="1"/>
  <c r="AB4" i="2"/>
  <c r="C4" i="2" s="1"/>
  <c r="D4" i="2" s="1"/>
  <c r="E4" i="2" s="1"/>
  <c r="F4" i="2" s="1"/>
  <c r="G4" i="2" s="1"/>
  <c r="O6" i="2"/>
  <c r="P6" i="2" s="1"/>
  <c r="Q6" i="2" s="1"/>
  <c r="R6" i="2" s="1"/>
  <c r="S6" i="2" s="1"/>
  <c r="T6" i="2" s="1"/>
  <c r="U6" i="2" s="1"/>
  <c r="V6" i="2" s="1"/>
  <c r="W6" i="2" s="1"/>
  <c r="X6" i="2" s="1"/>
  <c r="Y6" i="2" s="1"/>
  <c r="Z6" i="2" s="1"/>
  <c r="C6" i="2"/>
  <c r="V46" i="6"/>
  <c r="U46" i="6"/>
  <c r="T46" i="6"/>
  <c r="S46" i="6"/>
  <c r="R46" i="6"/>
  <c r="Q46" i="6"/>
  <c r="P46" i="6"/>
  <c r="O46" i="6"/>
  <c r="N46" i="6"/>
  <c r="M46" i="6"/>
  <c r="L46" i="6"/>
  <c r="K46" i="6"/>
  <c r="J46" i="6"/>
  <c r="I46" i="6"/>
  <c r="H46" i="6"/>
  <c r="G46" i="6"/>
  <c r="F46" i="6"/>
  <c r="E46" i="6"/>
  <c r="D46" i="6"/>
  <c r="C46" i="6"/>
  <c r="V13" i="6"/>
  <c r="U13" i="6"/>
  <c r="T13" i="6"/>
  <c r="S13" i="6"/>
  <c r="R13" i="6"/>
  <c r="Q13" i="6"/>
  <c r="P13" i="6"/>
  <c r="O13" i="6"/>
  <c r="N13" i="6"/>
  <c r="M13" i="6"/>
  <c r="L13" i="6"/>
  <c r="K13" i="6"/>
  <c r="J13" i="6"/>
  <c r="I13" i="6"/>
  <c r="H13" i="6"/>
  <c r="G13" i="6"/>
  <c r="F13" i="6"/>
  <c r="E13" i="6"/>
  <c r="D13" i="6"/>
  <c r="C13" i="6"/>
  <c r="B20" i="18"/>
  <c r="B12" i="18"/>
  <c r="F12" i="18"/>
  <c r="F22" i="18"/>
  <c r="B32" i="18"/>
  <c r="B44" i="18"/>
  <c r="B56" i="18"/>
  <c r="B68" i="18"/>
  <c r="F21" i="18"/>
  <c r="F20" i="18"/>
  <c r="F19" i="18"/>
  <c r="F18" i="18"/>
  <c r="F17" i="18"/>
  <c r="F16" i="18"/>
  <c r="F15" i="18"/>
  <c r="F14" i="18"/>
  <c r="F13" i="18"/>
  <c r="N19" i="18"/>
  <c r="AB59" i="2"/>
  <c r="AB58" i="2"/>
  <c r="AB57" i="2"/>
  <c r="AB56" i="2"/>
  <c r="AB55" i="2"/>
  <c r="AB54" i="2"/>
  <c r="AB53" i="2"/>
  <c r="AB52" i="2"/>
  <c r="AB51" i="2"/>
  <c r="AB50" i="2"/>
  <c r="AB49" i="2"/>
  <c r="AB48" i="2"/>
  <c r="AB47" i="2"/>
  <c r="AB46" i="2"/>
  <c r="AB45" i="2"/>
  <c r="AB44" i="2"/>
  <c r="B10" i="2"/>
  <c r="B10" i="1"/>
  <c r="B12" i="1" s="1"/>
  <c r="B14" i="1" s="1"/>
  <c r="B16" i="1" s="1"/>
  <c r="B18" i="1" s="1"/>
  <c r="B20" i="1" s="1"/>
  <c r="B22" i="1" s="1"/>
  <c r="B24" i="1" s="1"/>
  <c r="B26" i="1" s="1"/>
  <c r="B28" i="1" s="1"/>
  <c r="B32" i="1"/>
  <c r="B33" i="1" s="1"/>
  <c r="B34" i="1" s="1"/>
  <c r="B35" i="1" s="1"/>
  <c r="B36" i="1" s="1"/>
  <c r="B37" i="1" s="1"/>
  <c r="B38" i="1" s="1"/>
  <c r="B39" i="1" s="1"/>
  <c r="B40" i="1" s="1"/>
  <c r="B41" i="1" s="1"/>
  <c r="B42" i="1" s="1"/>
  <c r="B43" i="1" s="1"/>
  <c r="B44" i="1" s="1"/>
  <c r="B45" i="1" s="1"/>
  <c r="B46" i="1" s="1"/>
  <c r="B47" i="1" s="1"/>
  <c r="B48" i="1" s="1"/>
  <c r="B49" i="1" s="1"/>
  <c r="B50" i="1" s="1"/>
  <c r="B51" i="1" s="1"/>
  <c r="B52" i="1" s="1"/>
  <c r="B53" i="1" s="1"/>
  <c r="B54" i="1" s="1"/>
  <c r="B55" i="1" s="1"/>
  <c r="B56" i="1" s="1"/>
  <c r="B57" i="1" s="1"/>
  <c r="B58" i="1" s="1"/>
  <c r="B59" i="1" s="1"/>
  <c r="B60" i="1" s="1"/>
  <c r="B61" i="1" s="1"/>
  <c r="B62" i="1" s="1"/>
  <c r="B63" i="1" s="1"/>
  <c r="B64" i="1" s="1"/>
  <c r="B65" i="1" s="1"/>
  <c r="B66" i="1" s="1"/>
  <c r="B67" i="1" s="1"/>
  <c r="B68" i="1" s="1"/>
  <c r="B69" i="1" s="1"/>
  <c r="B70" i="1" s="1"/>
  <c r="B71" i="1" s="1"/>
  <c r="B72" i="1" s="1"/>
  <c r="B73" i="1" s="1"/>
  <c r="B74" i="1" s="1"/>
  <c r="B75" i="1" s="1"/>
  <c r="B76" i="1" s="1"/>
  <c r="B77" i="1" s="1"/>
  <c r="B78" i="1" s="1"/>
  <c r="B79" i="1" s="1"/>
  <c r="B80" i="1" s="1"/>
  <c r="B81" i="1" s="1"/>
  <c r="B82" i="1" s="1"/>
  <c r="B83" i="1" s="1"/>
  <c r="B84" i="1" s="1"/>
  <c r="B85" i="1" s="1"/>
  <c r="B86" i="1" s="1"/>
  <c r="B87" i="1" s="1"/>
  <c r="B88" i="1" s="1"/>
  <c r="B89" i="1" s="1"/>
  <c r="B90" i="1" s="1"/>
  <c r="B91" i="1" s="1"/>
  <c r="B92" i="1" s="1"/>
  <c r="B93" i="1" s="1"/>
  <c r="B94" i="1" s="1"/>
  <c r="B95" i="1" s="1"/>
  <c r="B96" i="1" s="1"/>
  <c r="B97" i="1" s="1"/>
  <c r="B98" i="1" s="1"/>
  <c r="B99" i="1" s="1"/>
  <c r="B100" i="1" s="1"/>
  <c r="B101" i="1" s="1"/>
  <c r="B102" i="1" s="1"/>
  <c r="B103" i="1" s="1"/>
  <c r="B104" i="1" s="1"/>
  <c r="B105" i="1" s="1"/>
  <c r="B106" i="1" s="1"/>
  <c r="B107" i="1" s="1"/>
  <c r="B108" i="1" s="1"/>
  <c r="B109" i="1" s="1"/>
  <c r="B110" i="1" s="1"/>
  <c r="B5" i="6"/>
  <c r="B55" i="6"/>
  <c r="B62" i="6" s="1"/>
  <c r="B69" i="6" s="1"/>
  <c r="B45" i="6"/>
  <c r="B52" i="6" s="1"/>
  <c r="B68" i="6" s="1"/>
  <c r="C47" i="6"/>
  <c r="C48" i="6" s="1"/>
  <c r="B41" i="6"/>
  <c r="B18" i="6"/>
  <c r="B21" i="6" s="1"/>
  <c r="B33" i="6" s="1"/>
  <c r="B12" i="6"/>
  <c r="C14" i="6" s="1"/>
  <c r="C15" i="6" s="1"/>
  <c r="B24" i="20"/>
  <c r="F5" i="29"/>
  <c r="C45" i="6"/>
  <c r="D47" i="6" s="1"/>
  <c r="C50" i="6"/>
  <c r="B60" i="6"/>
  <c r="B15" i="6"/>
  <c r="B32" i="6" s="1"/>
  <c r="C57" i="6" l="1"/>
  <c r="C58" i="6" s="1"/>
  <c r="C20" i="6"/>
  <c r="C19" i="6" s="1"/>
  <c r="I13" i="31"/>
  <c r="H12" i="31"/>
  <c r="I14" i="31"/>
  <c r="T7" i="29"/>
  <c r="B22" i="20"/>
  <c r="H11" i="31"/>
  <c r="B13" i="20"/>
  <c r="B31" i="20" s="1"/>
  <c r="B35" i="20" s="1"/>
  <c r="G15" i="18"/>
  <c r="B50" i="6"/>
  <c r="C26" i="29"/>
  <c r="C11" i="20"/>
  <c r="C13" i="20" s="1"/>
  <c r="G14" i="18"/>
  <c r="G13" i="18"/>
  <c r="J26" i="24"/>
  <c r="B12" i="28"/>
  <c r="C32" i="6"/>
  <c r="C26" i="6"/>
  <c r="W13" i="6"/>
  <c r="I11" i="31"/>
  <c r="G19" i="18"/>
  <c r="G20" i="18"/>
  <c r="C12" i="6"/>
  <c r="G18" i="18"/>
  <c r="B12" i="29"/>
  <c r="H14" i="31"/>
  <c r="E10" i="29"/>
  <c r="E13" i="29" s="1"/>
  <c r="C12" i="29"/>
  <c r="G17" i="18"/>
  <c r="H15" i="22"/>
  <c r="I20" i="22" s="1"/>
  <c r="E10" i="1"/>
  <c r="G22" i="18"/>
  <c r="B11" i="28"/>
  <c r="C52" i="6"/>
  <c r="D12" i="29"/>
  <c r="I12" i="31"/>
  <c r="D12" i="28"/>
  <c r="C26" i="28"/>
  <c r="E10" i="28"/>
  <c r="D13" i="28"/>
  <c r="D11" i="28"/>
  <c r="E14" i="1"/>
  <c r="E21" i="1"/>
  <c r="E17" i="1"/>
  <c r="E15" i="1"/>
  <c r="E20" i="1"/>
  <c r="D22" i="1"/>
  <c r="E18" i="1"/>
  <c r="E12" i="1"/>
  <c r="E19" i="1"/>
  <c r="E16" i="1"/>
  <c r="E13" i="1"/>
  <c r="E11" i="1"/>
  <c r="B34" i="6"/>
  <c r="D48" i="6"/>
  <c r="D52" i="6" s="1"/>
  <c r="D68" i="6" s="1"/>
  <c r="D50" i="6"/>
  <c r="C11" i="29"/>
  <c r="B11" i="29"/>
  <c r="B13" i="28"/>
  <c r="C23" i="20"/>
  <c r="C36" i="20" s="1"/>
  <c r="C20" i="20"/>
  <c r="D11" i="29"/>
  <c r="C33" i="20"/>
  <c r="C32" i="20" s="1"/>
  <c r="C35" i="20" s="1"/>
  <c r="C10" i="2"/>
  <c r="D6" i="2"/>
  <c r="C20" i="22"/>
  <c r="H4" i="2"/>
  <c r="B7" i="30"/>
  <c r="B12" i="30" s="1"/>
  <c r="B13" i="30" s="1"/>
  <c r="F7" i="29"/>
  <c r="C13" i="29" s="1"/>
  <c r="E24" i="18"/>
  <c r="E25" i="18" s="1"/>
  <c r="G16" i="18"/>
  <c r="G21" i="18"/>
  <c r="G12" i="18"/>
  <c r="G27" i="21"/>
  <c r="D45" i="6"/>
  <c r="B9" i="21"/>
  <c r="B10" i="21" s="1"/>
  <c r="B11" i="21" s="1"/>
  <c r="C68" i="6"/>
  <c r="B22" i="22" l="1"/>
  <c r="B24" i="22" s="1"/>
  <c r="C56" i="6"/>
  <c r="C10" i="20"/>
  <c r="D12" i="20" s="1"/>
  <c r="D11" i="20" s="1"/>
  <c r="D13" i="20" s="1"/>
  <c r="D13" i="29"/>
  <c r="B13" i="29"/>
  <c r="D26" i="29"/>
  <c r="E11" i="29"/>
  <c r="E12" i="29"/>
  <c r="F10" i="29"/>
  <c r="F13" i="29" s="1"/>
  <c r="D14" i="6"/>
  <c r="D15" i="6" s="1"/>
  <c r="D12" i="6"/>
  <c r="C22" i="20"/>
  <c r="C19" i="20"/>
  <c r="E47" i="6"/>
  <c r="E45" i="6"/>
  <c r="C21" i="6"/>
  <c r="C31" i="20"/>
  <c r="C37" i="20"/>
  <c r="I4" i="2"/>
  <c r="B37" i="20"/>
  <c r="C18" i="6"/>
  <c r="D26" i="28"/>
  <c r="E12" i="28"/>
  <c r="E13" i="28"/>
  <c r="E11" i="28"/>
  <c r="F10" i="28"/>
  <c r="E6" i="2"/>
  <c r="D10" i="2"/>
  <c r="C9" i="21"/>
  <c r="D9" i="21" s="1"/>
  <c r="E9" i="21" s="1"/>
  <c r="F9" i="21" s="1"/>
  <c r="G9" i="21" s="1"/>
  <c r="D10" i="20" l="1"/>
  <c r="E12" i="20" s="1"/>
  <c r="E11" i="20" s="1"/>
  <c r="E13" i="20" s="1"/>
  <c r="F13" i="20" s="1"/>
  <c r="C60" i="6"/>
  <c r="C55" i="6"/>
  <c r="D57" i="6" s="1"/>
  <c r="D58" i="6" s="1"/>
  <c r="C62" i="6"/>
  <c r="C69" i="6" s="1"/>
  <c r="F12" i="29"/>
  <c r="G10" i="29"/>
  <c r="G13" i="29" s="1"/>
  <c r="F11" i="29"/>
  <c r="E26" i="29"/>
  <c r="D26" i="6"/>
  <c r="D32" i="6"/>
  <c r="E14" i="6"/>
  <c r="E15" i="6" s="1"/>
  <c r="E12" i="6"/>
  <c r="D20" i="6"/>
  <c r="D56" i="6"/>
  <c r="C33" i="6"/>
  <c r="C34" i="6" s="1"/>
  <c r="C27" i="6"/>
  <c r="J4" i="2"/>
  <c r="F47" i="6"/>
  <c r="F45" i="6"/>
  <c r="E48" i="6"/>
  <c r="E52" i="6" s="1"/>
  <c r="E50" i="6"/>
  <c r="F12" i="28"/>
  <c r="E26" i="28"/>
  <c r="G10" i="28"/>
  <c r="F13" i="28"/>
  <c r="F11" i="28"/>
  <c r="D21" i="20"/>
  <c r="F6" i="2"/>
  <c r="E10" i="2"/>
  <c r="D33" i="20"/>
  <c r="D32" i="20" s="1"/>
  <c r="D35" i="20" s="1"/>
  <c r="C24" i="20"/>
  <c r="E10" i="20"/>
  <c r="C11" i="21"/>
  <c r="D11" i="21"/>
  <c r="E26" i="6" l="1"/>
  <c r="E32" i="6"/>
  <c r="F26" i="29"/>
  <c r="G11" i="29"/>
  <c r="H10" i="29"/>
  <c r="H13" i="29" s="1"/>
  <c r="G12" i="29"/>
  <c r="D31" i="20"/>
  <c r="E33" i="20" s="1"/>
  <c r="E32" i="20" s="1"/>
  <c r="E35" i="20" s="1"/>
  <c r="F35" i="20" s="1"/>
  <c r="F14" i="6"/>
  <c r="F15" i="6" s="1"/>
  <c r="F26" i="6" s="1"/>
  <c r="F12" i="6"/>
  <c r="G12" i="28"/>
  <c r="G11" i="28"/>
  <c r="H10" i="28"/>
  <c r="G13" i="28"/>
  <c r="F26" i="28"/>
  <c r="D60" i="6"/>
  <c r="D62" i="6"/>
  <c r="D55" i="6"/>
  <c r="E68" i="6"/>
  <c r="K4" i="2"/>
  <c r="G6" i="2"/>
  <c r="F10" i="2"/>
  <c r="G47" i="6"/>
  <c r="G45" i="6"/>
  <c r="D23" i="20"/>
  <c r="D36" i="20" s="1"/>
  <c r="D37" i="20" s="1"/>
  <c r="D20" i="20"/>
  <c r="F50" i="6"/>
  <c r="F48" i="6"/>
  <c r="F52" i="6" s="1"/>
  <c r="F68" i="6" s="1"/>
  <c r="D19" i="6"/>
  <c r="E11" i="21"/>
  <c r="F32" i="6" l="1"/>
  <c r="H11" i="29"/>
  <c r="G26" i="29"/>
  <c r="H12" i="29"/>
  <c r="G14" i="6"/>
  <c r="G15" i="6" s="1"/>
  <c r="G12" i="6"/>
  <c r="D21" i="6"/>
  <c r="D18" i="6"/>
  <c r="H45" i="6"/>
  <c r="H47" i="6"/>
  <c r="L4" i="2"/>
  <c r="G50" i="6"/>
  <c r="G48" i="6"/>
  <c r="G52" i="6" s="1"/>
  <c r="H12" i="28"/>
  <c r="H11" i="28"/>
  <c r="G26" i="28"/>
  <c r="H13" i="28"/>
  <c r="H6" i="2"/>
  <c r="G10" i="2"/>
  <c r="D22" i="20"/>
  <c r="D19" i="20"/>
  <c r="E57" i="6"/>
  <c r="E31" i="20"/>
  <c r="D69" i="6"/>
  <c r="F11" i="21"/>
  <c r="G11" i="21"/>
  <c r="G32" i="6" l="1"/>
  <c r="G26" i="6"/>
  <c r="H12" i="6"/>
  <c r="H14" i="6"/>
  <c r="H15" i="6" s="1"/>
  <c r="H48" i="6"/>
  <c r="H52" i="6" s="1"/>
  <c r="H68" i="6" s="1"/>
  <c r="H50" i="6"/>
  <c r="E21" i="20"/>
  <c r="I6" i="2"/>
  <c r="H10" i="2"/>
  <c r="E20" i="6"/>
  <c r="E58" i="6"/>
  <c r="E56" i="6"/>
  <c r="G68" i="6"/>
  <c r="D27" i="6"/>
  <c r="D33" i="6"/>
  <c r="D34" i="6" s="1"/>
  <c r="D24" i="20"/>
  <c r="M4" i="2"/>
  <c r="I45" i="6"/>
  <c r="I47" i="6"/>
  <c r="H32" i="6" l="1"/>
  <c r="H26" i="6"/>
  <c r="I12" i="6"/>
  <c r="I14" i="6"/>
  <c r="I15" i="6" s="1"/>
  <c r="J6" i="2"/>
  <c r="I10" i="2"/>
  <c r="N4" i="2"/>
  <c r="I48" i="6"/>
  <c r="I52" i="6" s="1"/>
  <c r="I50" i="6"/>
  <c r="E23" i="20"/>
  <c r="E36" i="20" s="1"/>
  <c r="E37" i="20" s="1"/>
  <c r="F37" i="20" s="1"/>
  <c r="E20" i="20"/>
  <c r="E62" i="6"/>
  <c r="E60" i="6"/>
  <c r="E55" i="6"/>
  <c r="J45" i="6"/>
  <c r="J47" i="6"/>
  <c r="E19" i="6"/>
  <c r="I26" i="6" l="1"/>
  <c r="I32" i="6"/>
  <c r="J12" i="6"/>
  <c r="J14" i="6"/>
  <c r="J15" i="6" s="1"/>
  <c r="I68" i="6"/>
  <c r="E69" i="6"/>
  <c r="E22" i="20"/>
  <c r="E19" i="20"/>
  <c r="F57" i="6"/>
  <c r="E21" i="6"/>
  <c r="E18" i="6"/>
  <c r="J48" i="6"/>
  <c r="J52" i="6" s="1"/>
  <c r="J68" i="6" s="1"/>
  <c r="J50" i="6"/>
  <c r="O4" i="2"/>
  <c r="K6" i="2"/>
  <c r="J10" i="2"/>
  <c r="K47" i="6"/>
  <c r="K45" i="6"/>
  <c r="J32" i="6" l="1"/>
  <c r="J26" i="6"/>
  <c r="K12" i="6"/>
  <c r="K14" i="6"/>
  <c r="K15" i="6" s="1"/>
  <c r="L6" i="2"/>
  <c r="K10" i="2"/>
  <c r="P4" i="2"/>
  <c r="O10" i="2"/>
  <c r="L47" i="6"/>
  <c r="L45" i="6"/>
  <c r="K48" i="6"/>
  <c r="K52" i="6" s="1"/>
  <c r="K68" i="6" s="1"/>
  <c r="K50" i="6"/>
  <c r="F58" i="6"/>
  <c r="F56" i="6"/>
  <c r="F20" i="6"/>
  <c r="E33" i="6"/>
  <c r="E34" i="6" s="1"/>
  <c r="E27" i="6"/>
  <c r="E24" i="20"/>
  <c r="F24" i="20" s="1"/>
  <c r="F22" i="20"/>
  <c r="K32" i="6" l="1"/>
  <c r="K26" i="6"/>
  <c r="L14" i="6"/>
  <c r="L15" i="6" s="1"/>
  <c r="L12" i="6"/>
  <c r="M47" i="6"/>
  <c r="M45" i="6"/>
  <c r="L50" i="6"/>
  <c r="L48" i="6"/>
  <c r="L52" i="6" s="1"/>
  <c r="F19" i="6"/>
  <c r="Q4" i="2"/>
  <c r="P10" i="2"/>
  <c r="F62" i="6"/>
  <c r="F60" i="6"/>
  <c r="F55" i="6"/>
  <c r="M6" i="2"/>
  <c r="L10" i="2"/>
  <c r="M12" i="6" l="1"/>
  <c r="M14" i="6"/>
  <c r="M15" i="6" s="1"/>
  <c r="L26" i="6"/>
  <c r="L32" i="6"/>
  <c r="R4" i="2"/>
  <c r="Q10" i="2"/>
  <c r="F69" i="6"/>
  <c r="L68" i="6"/>
  <c r="F21" i="6"/>
  <c r="F18" i="6"/>
  <c r="N6" i="2"/>
  <c r="N10" i="2" s="1"/>
  <c r="M10" i="2"/>
  <c r="N47" i="6"/>
  <c r="N45" i="6"/>
  <c r="G57" i="6"/>
  <c r="M50" i="6"/>
  <c r="M48" i="6"/>
  <c r="M52" i="6" s="1"/>
  <c r="M68" i="6" s="1"/>
  <c r="M26" i="6" l="1"/>
  <c r="M32" i="6"/>
  <c r="N12" i="6"/>
  <c r="N14" i="6"/>
  <c r="N15" i="6" s="1"/>
  <c r="F33" i="6"/>
  <c r="F34" i="6" s="1"/>
  <c r="F27" i="6"/>
  <c r="S4" i="2"/>
  <c r="R10" i="2"/>
  <c r="G20" i="6"/>
  <c r="G58" i="6"/>
  <c r="G56" i="6"/>
  <c r="O45" i="6"/>
  <c r="O47" i="6"/>
  <c r="N48" i="6"/>
  <c r="N52" i="6" s="1"/>
  <c r="N68" i="6" s="1"/>
  <c r="N50" i="6"/>
  <c r="N32" i="6" l="1"/>
  <c r="N26" i="6"/>
  <c r="O12" i="6"/>
  <c r="O14" i="6"/>
  <c r="O15" i="6" s="1"/>
  <c r="G60" i="6"/>
  <c r="G62" i="6"/>
  <c r="G55" i="6"/>
  <c r="P45" i="6"/>
  <c r="P47" i="6"/>
  <c r="G19" i="6"/>
  <c r="O48" i="6"/>
  <c r="O52" i="6" s="1"/>
  <c r="O68" i="6" s="1"/>
  <c r="O50" i="6"/>
  <c r="S10" i="2"/>
  <c r="T4" i="2"/>
  <c r="O32" i="6" l="1"/>
  <c r="O26" i="6"/>
  <c r="P12" i="6"/>
  <c r="P14" i="6"/>
  <c r="P15" i="6" s="1"/>
  <c r="P50" i="6"/>
  <c r="P48" i="6"/>
  <c r="P52" i="6" s="1"/>
  <c r="P68" i="6" s="1"/>
  <c r="Q47" i="6"/>
  <c r="Q45" i="6"/>
  <c r="H57" i="6"/>
  <c r="T10" i="2"/>
  <c r="U4" i="2"/>
  <c r="G69" i="6"/>
  <c r="G21" i="6"/>
  <c r="G18" i="6"/>
  <c r="P26" i="6" l="1"/>
  <c r="P32" i="6"/>
  <c r="Q12" i="6"/>
  <c r="Q14" i="6"/>
  <c r="Q15" i="6" s="1"/>
  <c r="U10" i="2"/>
  <c r="V4" i="2"/>
  <c r="H58" i="6"/>
  <c r="H56" i="6"/>
  <c r="R45" i="6"/>
  <c r="R47" i="6"/>
  <c r="Q48" i="6"/>
  <c r="Q52" i="6" s="1"/>
  <c r="Q68" i="6" s="1"/>
  <c r="Q50" i="6"/>
  <c r="G33" i="6"/>
  <c r="G34" i="6" s="1"/>
  <c r="G27" i="6"/>
  <c r="H20" i="6"/>
  <c r="Q26" i="6" l="1"/>
  <c r="Q32" i="6"/>
  <c r="R12" i="6"/>
  <c r="R14" i="6"/>
  <c r="R15" i="6" s="1"/>
  <c r="R50" i="6"/>
  <c r="R48" i="6"/>
  <c r="R52" i="6" s="1"/>
  <c r="R68" i="6" s="1"/>
  <c r="S47" i="6"/>
  <c r="S45" i="6"/>
  <c r="H62" i="6"/>
  <c r="H60" i="6"/>
  <c r="H55" i="6"/>
  <c r="W4" i="2"/>
  <c r="V10" i="2"/>
  <c r="H19" i="6"/>
  <c r="R26" i="6" l="1"/>
  <c r="R32" i="6"/>
  <c r="S12" i="6"/>
  <c r="S14" i="6"/>
  <c r="S15" i="6" s="1"/>
  <c r="H21" i="6"/>
  <c r="H18" i="6"/>
  <c r="W10" i="2"/>
  <c r="X4" i="2"/>
  <c r="I57" i="6"/>
  <c r="T45" i="6"/>
  <c r="T47" i="6"/>
  <c r="S50" i="6"/>
  <c r="S48" i="6"/>
  <c r="S52" i="6" s="1"/>
  <c r="S68" i="6" s="1"/>
  <c r="H69" i="6"/>
  <c r="S32" i="6" l="1"/>
  <c r="S26" i="6"/>
  <c r="T14" i="6"/>
  <c r="T15" i="6" s="1"/>
  <c r="T12" i="6"/>
  <c r="Y4" i="2"/>
  <c r="X10" i="2"/>
  <c r="U45" i="6"/>
  <c r="U47" i="6"/>
  <c r="I58" i="6"/>
  <c r="I56" i="6"/>
  <c r="I20" i="6"/>
  <c r="I19" i="6" s="1"/>
  <c r="I21" i="6" s="1"/>
  <c r="T48" i="6"/>
  <c r="T52" i="6" s="1"/>
  <c r="T68" i="6" s="1"/>
  <c r="T50" i="6"/>
  <c r="H27" i="6"/>
  <c r="H33" i="6"/>
  <c r="H34" i="6" s="1"/>
  <c r="U14" i="6" l="1"/>
  <c r="U15" i="6" s="1"/>
  <c r="U12" i="6"/>
  <c r="T32" i="6"/>
  <c r="T26" i="6"/>
  <c r="V47" i="6"/>
  <c r="V45" i="6"/>
  <c r="I27" i="6"/>
  <c r="I33" i="6"/>
  <c r="I34" i="6" s="1"/>
  <c r="I60" i="6"/>
  <c r="I55" i="6"/>
  <c r="I18" i="6"/>
  <c r="I62" i="6"/>
  <c r="I69" i="6" s="1"/>
  <c r="U48" i="6"/>
  <c r="U52" i="6" s="1"/>
  <c r="U68" i="6" s="1"/>
  <c r="U50" i="6"/>
  <c r="Z4" i="2"/>
  <c r="Z10" i="2" s="1"/>
  <c r="Y10" i="2"/>
  <c r="V14" i="6" l="1"/>
  <c r="V12" i="6"/>
  <c r="U26" i="6"/>
  <c r="U32" i="6"/>
  <c r="AC56" i="2"/>
  <c r="AC50" i="2"/>
  <c r="AC58" i="2"/>
  <c r="AC55" i="2"/>
  <c r="AC49" i="2"/>
  <c r="AB64" i="2"/>
  <c r="AC64" i="2" s="1"/>
  <c r="AC54" i="2"/>
  <c r="AC57" i="2"/>
  <c r="AC48" i="2"/>
  <c r="AC45" i="2"/>
  <c r="AC59" i="2"/>
  <c r="AC51" i="2"/>
  <c r="AC47" i="2"/>
  <c r="AC52" i="2"/>
  <c r="AC53" i="2"/>
  <c r="AC46" i="2"/>
  <c r="AC44" i="2"/>
  <c r="J57" i="6"/>
  <c r="J20" i="6"/>
  <c r="J19" i="6" s="1"/>
  <c r="J21" i="6" s="1"/>
  <c r="J18" i="6"/>
  <c r="V50" i="6"/>
  <c r="W50" i="6" s="1"/>
  <c r="V48" i="6"/>
  <c r="V52" i="6" s="1"/>
  <c r="V15" i="6" l="1"/>
  <c r="W14" i="6"/>
  <c r="W16" i="6" s="1"/>
  <c r="K20" i="6"/>
  <c r="K19" i="6" s="1"/>
  <c r="K21" i="6" s="1"/>
  <c r="AD68" i="2"/>
  <c r="AG64" i="2"/>
  <c r="J58" i="6"/>
  <c r="J56" i="6"/>
  <c r="J33" i="6"/>
  <c r="J34" i="6" s="1"/>
  <c r="J27" i="6"/>
  <c r="V68" i="6"/>
  <c r="W52" i="6"/>
  <c r="J62" i="6" l="1"/>
  <c r="J69" i="6" s="1"/>
  <c r="K18" i="6"/>
  <c r="L20" i="6" s="1"/>
  <c r="L19" i="6" s="1"/>
  <c r="L21" i="6" s="1"/>
  <c r="V26" i="6"/>
  <c r="W26" i="6" s="1"/>
  <c r="V32" i="6"/>
  <c r="J60" i="6"/>
  <c r="J55" i="6"/>
  <c r="B73" i="6"/>
  <c r="W68" i="6"/>
  <c r="K33" i="6"/>
  <c r="K34" i="6" s="1"/>
  <c r="K27" i="6"/>
  <c r="L18" i="6" l="1"/>
  <c r="K57" i="6"/>
  <c r="M20" i="6"/>
  <c r="M19" i="6" s="1"/>
  <c r="M21" i="6" s="1"/>
  <c r="L33" i="6"/>
  <c r="L34" i="6" s="1"/>
  <c r="L27" i="6"/>
  <c r="M27" i="6" l="1"/>
  <c r="M33" i="6"/>
  <c r="M34" i="6" s="1"/>
  <c r="M18" i="6"/>
  <c r="K58" i="6"/>
  <c r="K56" i="6"/>
  <c r="K60" i="6" l="1"/>
  <c r="K55" i="6"/>
  <c r="N20" i="6"/>
  <c r="N19" i="6" s="1"/>
  <c r="N21" i="6" s="1"/>
  <c r="K62" i="6"/>
  <c r="K69" i="6" s="1"/>
  <c r="N27" i="6" l="1"/>
  <c r="N33" i="6"/>
  <c r="N34" i="6" s="1"/>
  <c r="N18" i="6"/>
  <c r="L57" i="6"/>
  <c r="L56" i="6" l="1"/>
  <c r="L58" i="6"/>
  <c r="O20" i="6"/>
  <c r="O19" i="6" s="1"/>
  <c r="O21" i="6" s="1"/>
  <c r="O27" i="6" l="1"/>
  <c r="O33" i="6"/>
  <c r="O34" i="6" s="1"/>
  <c r="O18" i="6"/>
  <c r="L60" i="6"/>
  <c r="L62" i="6"/>
  <c r="L69" i="6" s="1"/>
  <c r="L55" i="6"/>
  <c r="M57" i="6" l="1"/>
  <c r="P20" i="6"/>
  <c r="P19" i="6" s="1"/>
  <c r="P21" i="6" s="1"/>
  <c r="P33" i="6" l="1"/>
  <c r="P34" i="6" s="1"/>
  <c r="P27" i="6"/>
  <c r="P18" i="6"/>
  <c r="M56" i="6"/>
  <c r="M58" i="6"/>
  <c r="M62" i="6" l="1"/>
  <c r="M69" i="6" s="1"/>
  <c r="M60" i="6"/>
  <c r="M55" i="6"/>
  <c r="Q20" i="6"/>
  <c r="Q19" i="6" s="1"/>
  <c r="Q21" i="6" s="1"/>
  <c r="Q18" i="6" l="1"/>
  <c r="Q33" i="6"/>
  <c r="Q34" i="6" s="1"/>
  <c r="Q27" i="6"/>
  <c r="N57" i="6"/>
  <c r="N56" i="6" l="1"/>
  <c r="N58" i="6"/>
  <c r="R20" i="6"/>
  <c r="R19" i="6" s="1"/>
  <c r="R21" i="6" s="1"/>
  <c r="R18" i="6" l="1"/>
  <c r="N62" i="6"/>
  <c r="N69" i="6" s="1"/>
  <c r="R33" i="6"/>
  <c r="R34" i="6" s="1"/>
  <c r="R27" i="6"/>
  <c r="N60" i="6"/>
  <c r="N55" i="6"/>
  <c r="S20" i="6" l="1"/>
  <c r="S19" i="6" s="1"/>
  <c r="S21" i="6" s="1"/>
  <c r="S27" i="6" s="1"/>
  <c r="O57" i="6"/>
  <c r="S33" i="6" l="1"/>
  <c r="S34" i="6" s="1"/>
  <c r="S18" i="6"/>
  <c r="T20" i="6" s="1"/>
  <c r="T19" i="6" s="1"/>
  <c r="T21" i="6" s="1"/>
  <c r="T27" i="6" s="1"/>
  <c r="O58" i="6"/>
  <c r="O56" i="6"/>
  <c r="T18" i="6" l="1"/>
  <c r="U20" i="6" s="1"/>
  <c r="U19" i="6" s="1"/>
  <c r="U21" i="6" s="1"/>
  <c r="T33" i="6"/>
  <c r="T34" i="6" s="1"/>
  <c r="O60" i="6"/>
  <c r="O55" i="6"/>
  <c r="O62" i="6"/>
  <c r="O69" i="6" s="1"/>
  <c r="U18" i="6" l="1"/>
  <c r="V20" i="6"/>
  <c r="P57" i="6"/>
  <c r="U27" i="6"/>
  <c r="U33" i="6"/>
  <c r="U34" i="6" s="1"/>
  <c r="P56" i="6" l="1"/>
  <c r="P58" i="6"/>
  <c r="V19" i="6"/>
  <c r="W20" i="6"/>
  <c r="P62" i="6" l="1"/>
  <c r="P69" i="6" s="1"/>
  <c r="V21" i="6"/>
  <c r="W19" i="6"/>
  <c r="W22" i="6" s="1"/>
  <c r="V18" i="6"/>
  <c r="P60" i="6"/>
  <c r="P55" i="6"/>
  <c r="Q57" i="6" l="1"/>
  <c r="V33" i="6"/>
  <c r="V34" i="6" s="1"/>
  <c r="V27" i="6"/>
  <c r="W27" i="6" s="1"/>
  <c r="Q58" i="6" l="1"/>
  <c r="Q56" i="6"/>
  <c r="Q62" i="6" l="1"/>
  <c r="Q69" i="6" s="1"/>
  <c r="Q60" i="6"/>
  <c r="Q55" i="6"/>
  <c r="R57" i="6" l="1"/>
  <c r="R56" i="6" l="1"/>
  <c r="R58" i="6"/>
  <c r="R62" i="6" l="1"/>
  <c r="R69" i="6" s="1"/>
  <c r="R60" i="6"/>
  <c r="R55" i="6"/>
  <c r="S57" i="6" l="1"/>
  <c r="S56" i="6" l="1"/>
  <c r="S58" i="6"/>
  <c r="S62" i="6" l="1"/>
  <c r="S69" i="6" s="1"/>
  <c r="S60" i="6"/>
  <c r="S55" i="6"/>
  <c r="T57" i="6" l="1"/>
  <c r="T58" i="6" l="1"/>
  <c r="T56" i="6"/>
  <c r="T60" i="6" l="1"/>
  <c r="T55" i="6"/>
  <c r="T62" i="6"/>
  <c r="T69" i="6" s="1"/>
  <c r="U57" i="6" l="1"/>
  <c r="U58" i="6" l="1"/>
  <c r="U56" i="6"/>
  <c r="U60" i="6" l="1"/>
  <c r="U62" i="6"/>
  <c r="U69" i="6" s="1"/>
  <c r="U55" i="6"/>
  <c r="V57" i="6" l="1"/>
  <c r="V56" i="6" l="1"/>
  <c r="V58" i="6"/>
  <c r="V62" i="6" l="1"/>
  <c r="V60" i="6"/>
  <c r="W60" i="6" s="1"/>
  <c r="V55" i="6"/>
  <c r="V69" i="6" l="1"/>
  <c r="W62" i="6"/>
  <c r="W69" i="6" l="1"/>
  <c r="B74"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Eier</author>
  </authors>
  <commentList>
    <comment ref="A2" authorId="0" shapeId="0" xr:uid="{00000000-0006-0000-0000-000002000000}">
      <text>
        <r>
          <rPr>
            <sz val="11"/>
            <color indexed="81"/>
            <rFont val="Times New Roman"/>
            <family val="1"/>
          </rPr>
          <t>Dette regnearket viser hvordan nåverdien til en kontantstrøm kan bergenes på to ulike måter.
Fet font angir inngangsverdi, dvs. data du må legge inn. Vanlig font betyr utgangsverdi, dvs. beregnede tall.</t>
        </r>
        <r>
          <rPr>
            <sz val="9"/>
            <color indexed="81"/>
            <rFont val="Tahoma"/>
            <charset val="1"/>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Per Ivar Gjærum</author>
    <author>PIG</author>
  </authors>
  <commentList>
    <comment ref="A1" authorId="0" shapeId="0" xr:uid="{00000000-0006-0000-0300-000001000000}">
      <text>
        <r>
          <rPr>
            <sz val="11"/>
            <color indexed="81"/>
            <rFont val="Times New Roman"/>
            <family val="1"/>
          </rPr>
          <t xml:space="preserve">Må skrives på nytt
</t>
        </r>
      </text>
    </comment>
    <comment ref="C10" authorId="1" shapeId="0" xr:uid="{00000000-0006-0000-0300-000002000000}">
      <text>
        <r>
          <rPr>
            <sz val="9"/>
            <color indexed="81"/>
            <rFont val="Tahoma"/>
            <family val="2"/>
          </rPr>
          <t xml:space="preserve">Tallet her angir intervallene i nåverdiprofilen
</t>
        </r>
      </text>
    </comment>
    <comment ref="B26" authorId="0" shapeId="0" xr:uid="{00000000-0006-0000-0300-000003000000}">
      <text>
        <r>
          <rPr>
            <sz val="12"/>
            <color indexed="81"/>
            <rFont val="Tahoma"/>
            <family val="2"/>
          </rPr>
          <t>Disse tallene er hjelpetall til figuren for å unngå at det blir stående to nuller i origo.</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Per Ivar Gjærum</author>
    <author>PIG</author>
  </authors>
  <commentList>
    <comment ref="A1" authorId="0" shapeId="0" xr:uid="{00000000-0006-0000-0400-000001000000}">
      <text>
        <r>
          <rPr>
            <sz val="11"/>
            <color indexed="81"/>
            <rFont val="Times New Roman"/>
            <family val="1"/>
          </rPr>
          <t xml:space="preserve">Må skrives på nytt
</t>
        </r>
      </text>
    </comment>
    <comment ref="C10" authorId="1" shapeId="0" xr:uid="{00000000-0006-0000-0400-000002000000}">
      <text>
        <r>
          <rPr>
            <sz val="9"/>
            <color indexed="81"/>
            <rFont val="Tahoma"/>
            <family val="2"/>
          </rPr>
          <t xml:space="preserve">Tallet her angir intervallene i nåverdiprofilen
</t>
        </r>
      </text>
    </comment>
    <comment ref="B26" authorId="0" shapeId="0" xr:uid="{00000000-0006-0000-0400-000003000000}">
      <text>
        <r>
          <rPr>
            <sz val="12"/>
            <color indexed="81"/>
            <rFont val="Tahoma"/>
            <family val="2"/>
          </rPr>
          <t>Disse tallene er hjelpetall til figuren for å unngå at det blir stående to nuller i origo.</t>
        </r>
        <r>
          <rPr>
            <sz val="9"/>
            <color indexed="81"/>
            <rFont val="Tahoma"/>
            <family val="2"/>
          </rPr>
          <t xml:space="preserve">
</t>
        </r>
      </text>
    </comment>
  </commentList>
</comments>
</file>

<file path=xl/sharedStrings.xml><?xml version="1.0" encoding="utf-8"?>
<sst xmlns="http://schemas.openxmlformats.org/spreadsheetml/2006/main" count="330" uniqueCount="134">
  <si>
    <t xml:space="preserve"> </t>
  </si>
  <si>
    <t>Skattesats</t>
  </si>
  <si>
    <t>Rentesats</t>
  </si>
  <si>
    <t>Annuitet</t>
  </si>
  <si>
    <t>Investering</t>
  </si>
  <si>
    <t>før skatt</t>
  </si>
  <si>
    <t>Avdrag</t>
  </si>
  <si>
    <t>etter skatt</t>
  </si>
  <si>
    <t>IRR</t>
  </si>
  <si>
    <t>SPM a</t>
  </si>
  <si>
    <t>Lån</t>
  </si>
  <si>
    <t>Avdragstid</t>
  </si>
  <si>
    <t>Inflasjon</t>
  </si>
  <si>
    <t>Bruttoinntekt</t>
  </si>
  <si>
    <t>Sum</t>
  </si>
  <si>
    <t>Serielån</t>
  </si>
  <si>
    <t>Rente</t>
  </si>
  <si>
    <t>Kontantstrøm</t>
  </si>
  <si>
    <t>Annuitetslån</t>
  </si>
  <si>
    <t>Avdrag pluss rente</t>
  </si>
  <si>
    <t>SPM b</t>
  </si>
  <si>
    <t>Differanse</t>
  </si>
  <si>
    <t>SPM c</t>
  </si>
  <si>
    <t>Rente etter skatt</t>
  </si>
  <si>
    <t>Internrente</t>
  </si>
  <si>
    <t>SPM d</t>
  </si>
  <si>
    <t>Lånesaldo</t>
  </si>
  <si>
    <t>Terminbeløp</t>
  </si>
  <si>
    <t>Lån per semester</t>
  </si>
  <si>
    <t>Tidspunkt</t>
  </si>
  <si>
    <t>b</t>
  </si>
  <si>
    <t>Leie etter skatt</t>
  </si>
  <si>
    <t>Spart skatt på</t>
  </si>
  <si>
    <t>avskrivninger</t>
  </si>
  <si>
    <t xml:space="preserve">Salgsverdi </t>
  </si>
  <si>
    <t>Differansekontant-</t>
  </si>
  <si>
    <t>strøm etter skatt</t>
  </si>
  <si>
    <t>Rente,</t>
  </si>
  <si>
    <t>år</t>
  </si>
  <si>
    <t>mnd</t>
  </si>
  <si>
    <t>Mnd</t>
  </si>
  <si>
    <t>År</t>
  </si>
  <si>
    <t>NV,</t>
  </si>
  <si>
    <t>tusen kr</t>
  </si>
  <si>
    <t>Måned</t>
  </si>
  <si>
    <t>Dato</t>
  </si>
  <si>
    <t>kostnad, år</t>
  </si>
  <si>
    <t>Kapital-</t>
  </si>
  <si>
    <t>kostnad, mnd</t>
  </si>
  <si>
    <t>Nåverdi,</t>
  </si>
  <si>
    <t>IRRmnd</t>
  </si>
  <si>
    <t>IRR år</t>
  </si>
  <si>
    <t xml:space="preserve">tusen </t>
  </si>
  <si>
    <t>Mndr. fra kjøp</t>
  </si>
  <si>
    <t>Kont.strøm</t>
  </si>
  <si>
    <t>Årlig</t>
  </si>
  <si>
    <t>kap. kostn.</t>
  </si>
  <si>
    <t>Greier ikke beregne</t>
  </si>
  <si>
    <t>Anslag utfra NV profilen</t>
  </si>
  <si>
    <t>NV(tusen kr)</t>
  </si>
  <si>
    <t>Serielån:</t>
  </si>
  <si>
    <t>Annuitetslån:</t>
  </si>
  <si>
    <t>Årsrente</t>
  </si>
  <si>
    <t>a</t>
  </si>
  <si>
    <t>Låneopptak</t>
  </si>
  <si>
    <t>Renter</t>
  </si>
  <si>
    <t>Effektiv rente</t>
  </si>
  <si>
    <t>Spart skatt</t>
  </si>
  <si>
    <t>Kontantstrøm før skatt</t>
  </si>
  <si>
    <t>Kontantstrøm etter skatt</t>
  </si>
  <si>
    <t>c</t>
  </si>
  <si>
    <t>Gebyr</t>
  </si>
  <si>
    <t>d</t>
  </si>
  <si>
    <t>Alternativrente</t>
  </si>
  <si>
    <t>Nåverdi</t>
  </si>
  <si>
    <t>Årlig låneopptak (tusen kr)</t>
  </si>
  <si>
    <t>Rente i studietiden</t>
  </si>
  <si>
    <t>Markedsrente</t>
  </si>
  <si>
    <t>Lånesaldo, Lånekassen</t>
  </si>
  <si>
    <t>Lånesaldo, markedsbetingelser</t>
  </si>
  <si>
    <t>Saldo, Lånekassefordel</t>
  </si>
  <si>
    <t>Nåverdi, Lånekassefordel</t>
  </si>
  <si>
    <t>Gamle regler</t>
  </si>
  <si>
    <t>Nye regler</t>
  </si>
  <si>
    <t>Nye minus gamle</t>
  </si>
  <si>
    <t>Låbebeløp</t>
  </si>
  <si>
    <t>Låneperiode</t>
  </si>
  <si>
    <t>Fastrente</t>
  </si>
  <si>
    <t>Lånebeløp</t>
  </si>
  <si>
    <t>Selskap</t>
  </si>
  <si>
    <t>Dividende</t>
  </si>
  <si>
    <t xml:space="preserve">Kurs </t>
  </si>
  <si>
    <t>D</t>
  </si>
  <si>
    <t>r</t>
  </si>
  <si>
    <t>v</t>
  </si>
  <si>
    <t>Kapitalkostnad</t>
  </si>
  <si>
    <t>Prosjekt</t>
  </si>
  <si>
    <t>Restverdi</t>
  </si>
  <si>
    <t>Årlig omsetning</t>
  </si>
  <si>
    <t>Arb.kap.pr.</t>
  </si>
  <si>
    <t xml:space="preserve">Nåverdi </t>
  </si>
  <si>
    <t>I OPPGAVETEKSTEN:</t>
  </si>
  <si>
    <t>I LØSNINGSFORSLAGET: Spm d</t>
  </si>
  <si>
    <t>I LØSNINGSFORSLAGET: Spm a</t>
  </si>
  <si>
    <t>Les dette</t>
  </si>
  <si>
    <t>Saldosats 30 %</t>
  </si>
  <si>
    <t>Differansekontantstrøm</t>
  </si>
  <si>
    <t>Arbeidskapital 15 %</t>
  </si>
  <si>
    <t>Arbeidskapital 30 %</t>
  </si>
  <si>
    <t>OBS: TABELLENE I LØSNINGSFORSLAGET ER BASERT PÅ ALTERNATIVE MARKEDSRENTER</t>
  </si>
  <si>
    <t>DISSE TABELLENE MÅ GENERERES VED Å ENDRE MARKEDSRENTEN TIL VENSTRE HER</t>
  </si>
  <si>
    <t>FINN EN LØSNING</t>
  </si>
  <si>
    <t>Kompensasjon</t>
  </si>
  <si>
    <t>Egenkapitalkostnad</t>
  </si>
  <si>
    <t>Nåverdi (3 %)</t>
  </si>
  <si>
    <t>Diskonteringsfaktor</t>
  </si>
  <si>
    <t>Nåverdi for hvert element</t>
  </si>
  <si>
    <t>Delspørsmål b</t>
  </si>
  <si>
    <t>Forskjell mellom a og b</t>
  </si>
  <si>
    <t>Prosentvis forskjell</t>
  </si>
  <si>
    <t>Justering i</t>
  </si>
  <si>
    <t>Justering ii</t>
  </si>
  <si>
    <t>Delspørsmål a</t>
  </si>
  <si>
    <t>Levetid</t>
  </si>
  <si>
    <t>Produkt A</t>
  </si>
  <si>
    <t>Produkt B</t>
  </si>
  <si>
    <t>Kontantstrøm første periode</t>
  </si>
  <si>
    <t>Antall perioder</t>
  </si>
  <si>
    <t>Vekst</t>
  </si>
  <si>
    <t>c)</t>
  </si>
  <si>
    <t>a) Nåverdi</t>
  </si>
  <si>
    <t>b) Nåverdi</t>
  </si>
  <si>
    <t>Saldosats 20 %</t>
  </si>
  <si>
    <r>
      <t>P</t>
    </r>
    <r>
      <rPr>
        <i/>
        <vertAlign val="subscript"/>
        <sz val="11"/>
        <rFont val="Times New Roman"/>
        <family val="1"/>
      </rPr>
      <t>0</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</si>
</sst>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8" formatCode="&quot;kr&quot;\ #,##0.00;[Red]&quot;kr&quot;\ \-#,##0.00"/>
    <numFmt numFmtId="43" formatCode="_ * #,##0.00_ ;_ * \-#,##0.00_ ;_ * &quot;-&quot;??_ ;_ @_ "/>
    <numFmt numFmtId="164" formatCode="_(* #,##0.00_);_(* \(#,##0.00\);_(* &quot;-&quot;??_);_(@_)"/>
    <numFmt numFmtId="165" formatCode="0.0\ %"/>
    <numFmt numFmtId="166" formatCode="#,##0.000"/>
    <numFmt numFmtId="167" formatCode="#,##0.0000"/>
    <numFmt numFmtId="168" formatCode="#,##0_ ;[Red]\-#,##0\ "/>
    <numFmt numFmtId="169" formatCode="0.0%"/>
    <numFmt numFmtId="170" formatCode="_(* #,##0_);_(* \(#,##0\);_(* &quot;-&quot;??_);_(@_)"/>
    <numFmt numFmtId="171" formatCode="_ * #,##0.0000_ ;_ * \-#,##0.0000_ ;_ * &quot;-&quot;??_ ;_ @_ "/>
    <numFmt numFmtId="172" formatCode="#,##0.0"/>
    <numFmt numFmtId="173" formatCode="0%"/>
  </numFmts>
  <fonts count="20" x14ac:knownFonts="1">
    <font>
      <sz val="10"/>
      <name val="Times New Roman"/>
    </font>
    <font>
      <sz val="10"/>
      <name val="Times New Roman"/>
      <family val="1"/>
    </font>
    <font>
      <sz val="8"/>
      <name val="Times New Roman"/>
      <family val="1"/>
    </font>
    <font>
      <b/>
      <sz val="10"/>
      <name val="Times New Roman"/>
      <family val="1"/>
    </font>
    <font>
      <sz val="11"/>
      <name val="Times New Roman"/>
      <family val="1"/>
    </font>
    <font>
      <b/>
      <sz val="11"/>
      <name val="Times New Roman"/>
      <family val="1"/>
    </font>
    <font>
      <sz val="10"/>
      <name val="Arial"/>
      <family val="2"/>
    </font>
    <font>
      <sz val="11"/>
      <color indexed="81"/>
      <name val="Times New Roman"/>
      <family val="1"/>
    </font>
    <font>
      <sz val="9"/>
      <color indexed="81"/>
      <name val="Tahoma"/>
      <family val="2"/>
    </font>
    <font>
      <sz val="12"/>
      <color indexed="81"/>
      <name val="Tahoma"/>
      <family val="2"/>
    </font>
    <font>
      <sz val="9"/>
      <color indexed="81"/>
      <name val="Tahoma"/>
      <charset val="1"/>
    </font>
    <font>
      <b/>
      <sz val="11"/>
      <color theme="1"/>
      <name val="Calibri"/>
      <family val="2"/>
      <scheme val="minor"/>
    </font>
    <font>
      <sz val="11"/>
      <color rgb="FFFF0000"/>
      <name val="Times New Roman"/>
      <family val="1"/>
    </font>
    <font>
      <sz val="11"/>
      <name val="Arial"/>
      <family val="2"/>
    </font>
    <font>
      <b/>
      <i/>
      <sz val="11"/>
      <name val="Times New Roman"/>
      <family val="1"/>
    </font>
    <font>
      <i/>
      <sz val="11"/>
      <name val="Times New Roman"/>
      <family val="1"/>
    </font>
    <font>
      <b/>
      <sz val="11"/>
      <color rgb="FFFF0000"/>
      <name val="Times New Roman"/>
      <family val="1"/>
    </font>
    <font>
      <b/>
      <sz val="11"/>
      <color rgb="FF000000"/>
      <name val="Times New Roman"/>
      <family val="1"/>
    </font>
    <font>
      <sz val="11"/>
      <color rgb="FF000000"/>
      <name val="Times New Roman"/>
      <family val="1"/>
    </font>
    <font>
      <i/>
      <vertAlign val="subscript"/>
      <sz val="11"/>
      <name val="Times New Roman"/>
      <family val="1"/>
    </font>
  </fonts>
  <fills count="2">
    <fill>
      <patternFill patternType="none"/>
    </fill>
    <fill>
      <patternFill patternType="gray125"/>
    </fill>
  </fills>
  <borders count="5">
    <border>
      <left/>
      <right/>
      <top/>
      <bottom/>
      <diagonal/>
    </border>
    <border>
      <left/>
      <right/>
      <top/>
      <bottom style="thin">
        <color indexed="64"/>
      </bottom>
      <diagonal/>
    </border>
    <border>
      <left/>
      <right/>
      <top/>
      <bottom style="double">
        <color indexed="64"/>
      </bottom>
      <diagonal/>
    </border>
    <border>
      <left/>
      <right/>
      <top style="thin">
        <color indexed="64"/>
      </top>
      <bottom style="double">
        <color indexed="64"/>
      </bottom>
      <diagonal/>
    </border>
    <border>
      <left/>
      <right/>
      <top style="thin">
        <color indexed="64"/>
      </top>
      <bottom style="thin">
        <color indexed="64"/>
      </bottom>
      <diagonal/>
    </border>
  </borders>
  <cellStyleXfs count="6">
    <xf numFmtId="0" fontId="0" fillId="0" borderId="0"/>
    <xf numFmtId="164" fontId="6" fillId="0" borderId="0" applyFont="0" applyFill="0" applyBorder="0" applyAlignment="0" applyProtection="0"/>
    <xf numFmtId="43" fontId="1" fillId="0" borderId="0" applyFont="0" applyFill="0" applyBorder="0" applyAlignment="0" applyProtection="0"/>
    <xf numFmtId="0" fontId="6" fillId="0" borderId="0"/>
    <xf numFmtId="9" fontId="6" fillId="0" borderId="0" applyFont="0" applyFill="0" applyBorder="0" applyAlignment="0" applyProtection="0"/>
    <xf numFmtId="9" fontId="1" fillId="0" borderId="0" applyFont="0" applyFill="0" applyBorder="0" applyAlignment="0" applyProtection="0"/>
  </cellStyleXfs>
  <cellXfs count="128">
    <xf numFmtId="0" fontId="0" fillId="0" borderId="0" xfId="0"/>
    <xf numFmtId="0" fontId="4" fillId="0" borderId="0" xfId="0" applyFont="1"/>
    <xf numFmtId="3" fontId="4" fillId="0" borderId="0" xfId="0" applyNumberFormat="1" applyFont="1"/>
    <xf numFmtId="0" fontId="5" fillId="0" borderId="0" xfId="0" applyFont="1"/>
    <xf numFmtId="0" fontId="4" fillId="0" borderId="1" xfId="0" applyFont="1" applyBorder="1"/>
    <xf numFmtId="3" fontId="4" fillId="0" borderId="1" xfId="0" applyNumberFormat="1" applyFont="1" applyBorder="1"/>
    <xf numFmtId="3" fontId="5" fillId="0" borderId="0" xfId="0" applyNumberFormat="1" applyFont="1"/>
    <xf numFmtId="0" fontId="3" fillId="0" borderId="0" xfId="0" applyFont="1"/>
    <xf numFmtId="0" fontId="1" fillId="0" borderId="0" xfId="0" applyFont="1"/>
    <xf numFmtId="0" fontId="4" fillId="0" borderId="0" xfId="3" applyFont="1"/>
    <xf numFmtId="0" fontId="4" fillId="0" borderId="0" xfId="3" applyFont="1" applyAlignment="1">
      <alignment horizontal="center"/>
    </xf>
    <xf numFmtId="0" fontId="6" fillId="0" borderId="0" xfId="3"/>
    <xf numFmtId="3" fontId="5" fillId="0" borderId="0" xfId="3" applyNumberFormat="1" applyFont="1"/>
    <xf numFmtId="0" fontId="5" fillId="0" borderId="0" xfId="3" applyFont="1"/>
    <xf numFmtId="9" fontId="5" fillId="0" borderId="0" xfId="3" applyNumberFormat="1" applyFont="1"/>
    <xf numFmtId="9" fontId="4" fillId="0" borderId="0" xfId="3" applyNumberFormat="1" applyFont="1"/>
    <xf numFmtId="3" fontId="4" fillId="0" borderId="0" xfId="3" applyNumberFormat="1" applyFont="1"/>
    <xf numFmtId="0" fontId="4" fillId="0" borderId="0" xfId="3" quotePrefix="1" applyFont="1" applyAlignment="1">
      <alignment horizontal="center"/>
    </xf>
    <xf numFmtId="0" fontId="4" fillId="0" borderId="0" xfId="3" quotePrefix="1" applyFont="1" applyBorder="1" applyAlignment="1">
      <alignment horizontal="center"/>
    </xf>
    <xf numFmtId="0" fontId="4" fillId="0" borderId="0" xfId="3" applyFont="1" applyBorder="1"/>
    <xf numFmtId="0" fontId="4" fillId="0" borderId="0" xfId="3" quotePrefix="1" applyFont="1" applyBorder="1" applyAlignment="1">
      <alignment horizontal="left"/>
    </xf>
    <xf numFmtId="9" fontId="5" fillId="0" borderId="0" xfId="4" applyFont="1"/>
    <xf numFmtId="165" fontId="4" fillId="0" borderId="1" xfId="0" applyNumberFormat="1" applyFont="1" applyBorder="1"/>
    <xf numFmtId="0" fontId="4" fillId="0" borderId="0" xfId="0" applyFont="1" applyAlignment="1">
      <alignment horizontal="right"/>
    </xf>
    <xf numFmtId="165" fontId="4" fillId="0" borderId="1" xfId="0" applyNumberFormat="1" applyFont="1" applyBorder="1" applyAlignment="1">
      <alignment horizontal="right"/>
    </xf>
    <xf numFmtId="0" fontId="4" fillId="0" borderId="4" xfId="0" applyFont="1" applyBorder="1"/>
    <xf numFmtId="3" fontId="4" fillId="0" borderId="4" xfId="0" applyNumberFormat="1" applyFont="1" applyBorder="1"/>
    <xf numFmtId="165" fontId="4" fillId="0" borderId="4" xfId="0" applyNumberFormat="1" applyFont="1" applyBorder="1"/>
    <xf numFmtId="9" fontId="11" fillId="0" borderId="0" xfId="0" applyNumberFormat="1" applyFont="1"/>
    <xf numFmtId="3" fontId="11" fillId="0" borderId="0" xfId="0" applyNumberFormat="1" applyFont="1"/>
    <xf numFmtId="0" fontId="11" fillId="0" borderId="0" xfId="0" applyFont="1"/>
    <xf numFmtId="1" fontId="11" fillId="0" borderId="0" xfId="0" applyNumberFormat="1" applyFont="1"/>
    <xf numFmtId="172" fontId="3" fillId="0" borderId="0" xfId="0" applyNumberFormat="1" applyFont="1"/>
    <xf numFmtId="165" fontId="3" fillId="0" borderId="0" xfId="0" applyNumberFormat="1" applyFont="1"/>
    <xf numFmtId="172" fontId="1" fillId="0" borderId="0" xfId="0" applyNumberFormat="1" applyFont="1"/>
    <xf numFmtId="0" fontId="12" fillId="0" borderId="0" xfId="3" applyFont="1"/>
    <xf numFmtId="0" fontId="4" fillId="0" borderId="1" xfId="3" applyFont="1" applyBorder="1"/>
    <xf numFmtId="0" fontId="5" fillId="0" borderId="1" xfId="3" applyFont="1" applyBorder="1"/>
    <xf numFmtId="0" fontId="4" fillId="0" borderId="1" xfId="3" applyFont="1" applyBorder="1" applyAlignment="1">
      <alignment horizontal="right"/>
    </xf>
    <xf numFmtId="0" fontId="4" fillId="0" borderId="0" xfId="3" applyFont="1" applyBorder="1" applyAlignment="1">
      <alignment horizontal="right"/>
    </xf>
    <xf numFmtId="169" fontId="4" fillId="0" borderId="0" xfId="3" applyNumberFormat="1" applyFont="1"/>
    <xf numFmtId="0" fontId="4" fillId="0" borderId="0" xfId="3" quotePrefix="1" applyFont="1" applyAlignment="1">
      <alignment horizontal="left"/>
    </xf>
    <xf numFmtId="165" fontId="4" fillId="0" borderId="0" xfId="5" applyNumberFormat="1" applyFont="1"/>
    <xf numFmtId="0" fontId="4" fillId="0" borderId="0" xfId="3" applyFont="1" applyAlignment="1">
      <alignment horizontal="left"/>
    </xf>
    <xf numFmtId="9" fontId="4" fillId="0" borderId="1" xfId="4" applyFont="1" applyBorder="1"/>
    <xf numFmtId="9" fontId="5" fillId="0" borderId="1" xfId="4" applyFont="1" applyBorder="1"/>
    <xf numFmtId="9" fontId="4" fillId="0" borderId="1" xfId="3" applyNumberFormat="1" applyFont="1" applyBorder="1"/>
    <xf numFmtId="3" fontId="4" fillId="0" borderId="0" xfId="1" applyNumberFormat="1" applyFont="1"/>
    <xf numFmtId="164" fontId="4" fillId="0" borderId="0" xfId="1" applyNumberFormat="1" applyFont="1"/>
    <xf numFmtId="170" fontId="4" fillId="0" borderId="0" xfId="1" applyNumberFormat="1" applyFont="1"/>
    <xf numFmtId="165" fontId="4" fillId="0" borderId="0" xfId="3" applyNumberFormat="1" applyFont="1"/>
    <xf numFmtId="0" fontId="4" fillId="0" borderId="0" xfId="3" applyFont="1" applyAlignment="1">
      <alignment horizontal="center"/>
    </xf>
    <xf numFmtId="0" fontId="4" fillId="0" borderId="0" xfId="0" applyFont="1" applyAlignment="1">
      <alignment horizontal="center"/>
    </xf>
    <xf numFmtId="3" fontId="4" fillId="0" borderId="0" xfId="0" applyNumberFormat="1" applyFont="1" applyAlignment="1">
      <alignment horizontal="left"/>
    </xf>
    <xf numFmtId="0" fontId="13" fillId="0" borderId="0" xfId="3" applyFont="1"/>
    <xf numFmtId="9" fontId="4" fillId="0" borderId="0" xfId="0" applyNumberFormat="1" applyFont="1"/>
    <xf numFmtId="171" fontId="4" fillId="0" borderId="0" xfId="2" applyNumberFormat="1" applyFont="1"/>
    <xf numFmtId="1" fontId="4" fillId="0" borderId="0" xfId="5" applyNumberFormat="1" applyFont="1"/>
    <xf numFmtId="9" fontId="4" fillId="0" borderId="0" xfId="5" applyFont="1"/>
    <xf numFmtId="8" fontId="13" fillId="0" borderId="0" xfId="3" applyNumberFormat="1" applyFont="1"/>
    <xf numFmtId="3" fontId="14" fillId="0" borderId="0" xfId="0" applyNumberFormat="1" applyFont="1" applyAlignment="1">
      <alignment horizontal="left"/>
    </xf>
    <xf numFmtId="4" fontId="4" fillId="0" borderId="0" xfId="0" applyNumberFormat="1" applyFont="1"/>
    <xf numFmtId="3" fontId="4" fillId="0" borderId="0" xfId="0" applyNumberFormat="1" applyFont="1" applyAlignment="1">
      <alignment horizontal="right"/>
    </xf>
    <xf numFmtId="3" fontId="4" fillId="0" borderId="0" xfId="0" applyNumberFormat="1" applyFont="1" applyAlignment="1">
      <alignment horizontal="center"/>
    </xf>
    <xf numFmtId="0" fontId="4" fillId="0" borderId="0" xfId="0" applyFont="1" applyAlignment="1">
      <alignment horizontal="left"/>
    </xf>
    <xf numFmtId="3" fontId="15" fillId="0" borderId="0" xfId="0" applyNumberFormat="1" applyFont="1"/>
    <xf numFmtId="0" fontId="15" fillId="0" borderId="0" xfId="0" applyFont="1"/>
    <xf numFmtId="3" fontId="15" fillId="0" borderId="0" xfId="0" applyNumberFormat="1" applyFont="1" applyAlignment="1">
      <alignment horizontal="left"/>
    </xf>
    <xf numFmtId="3" fontId="15" fillId="0" borderId="0" xfId="0" applyNumberFormat="1" applyFont="1" applyAlignment="1">
      <alignment horizontal="right"/>
    </xf>
    <xf numFmtId="3" fontId="15" fillId="0" borderId="0" xfId="0" applyNumberFormat="1" applyFont="1" applyAlignment="1">
      <alignment horizontal="center"/>
    </xf>
    <xf numFmtId="10" fontId="4" fillId="0" borderId="0" xfId="0" applyNumberFormat="1" applyFont="1"/>
    <xf numFmtId="3" fontId="4" fillId="0" borderId="0" xfId="0" applyNumberFormat="1" applyFont="1" applyAlignment="1">
      <alignment horizontal="center" vertical="center"/>
    </xf>
    <xf numFmtId="3" fontId="16" fillId="0" borderId="0" xfId="0" applyNumberFormat="1" applyFont="1"/>
    <xf numFmtId="2" fontId="4" fillId="0" borderId="0" xfId="0" applyNumberFormat="1" applyFont="1"/>
    <xf numFmtId="166" fontId="4" fillId="0" borderId="0" xfId="0" applyNumberFormat="1" applyFont="1"/>
    <xf numFmtId="0" fontId="17" fillId="0" borderId="0" xfId="0" applyFont="1" applyBorder="1" applyAlignment="1">
      <alignment vertical="center" wrapText="1"/>
    </xf>
    <xf numFmtId="0" fontId="18" fillId="0" borderId="1" xfId="0" applyFont="1" applyBorder="1" applyAlignment="1">
      <alignment vertical="center" wrapText="1"/>
    </xf>
    <xf numFmtId="0" fontId="18" fillId="0" borderId="1" xfId="0" applyFont="1" applyBorder="1" applyAlignment="1">
      <alignment horizontal="right" vertical="center" wrapText="1"/>
    </xf>
    <xf numFmtId="0" fontId="18" fillId="0" borderId="0" xfId="0" applyFont="1" applyBorder="1" applyAlignment="1">
      <alignment wrapText="1"/>
    </xf>
    <xf numFmtId="0" fontId="18" fillId="0" borderId="2" xfId="0" applyFont="1" applyBorder="1" applyAlignment="1">
      <alignment wrapText="1"/>
    </xf>
    <xf numFmtId="0" fontId="4" fillId="0" borderId="1" xfId="0" applyFont="1" applyBorder="1" applyAlignment="1">
      <alignment horizontal="right"/>
    </xf>
    <xf numFmtId="9" fontId="4" fillId="0" borderId="0" xfId="0" applyNumberFormat="1" applyFont="1" applyBorder="1" applyAlignment="1">
      <alignment horizontal="right"/>
    </xf>
    <xf numFmtId="0" fontId="4" fillId="0" borderId="2" xfId="0" applyFont="1" applyBorder="1"/>
    <xf numFmtId="3" fontId="4" fillId="0" borderId="2" xfId="0" applyNumberFormat="1" applyFont="1" applyBorder="1" applyAlignment="1">
      <alignment horizontal="right"/>
    </xf>
    <xf numFmtId="168" fontId="4" fillId="0" borderId="0" xfId="0" applyNumberFormat="1" applyFont="1"/>
    <xf numFmtId="1" fontId="4" fillId="0" borderId="0" xfId="0" applyNumberFormat="1" applyFont="1"/>
    <xf numFmtId="8" fontId="4" fillId="0" borderId="0" xfId="0" applyNumberFormat="1" applyFont="1"/>
    <xf numFmtId="3" fontId="18" fillId="0" borderId="0" xfId="0" applyNumberFormat="1" applyFont="1" applyBorder="1" applyAlignment="1">
      <alignment horizontal="right" wrapText="1"/>
    </xf>
    <xf numFmtId="3" fontId="18" fillId="0" borderId="2" xfId="0" applyNumberFormat="1" applyFont="1" applyBorder="1" applyAlignment="1">
      <alignment horizontal="right" wrapText="1"/>
    </xf>
    <xf numFmtId="3" fontId="18" fillId="0" borderId="2" xfId="0" applyNumberFormat="1" applyFont="1" applyBorder="1" applyAlignment="1">
      <alignment wrapText="1"/>
    </xf>
    <xf numFmtId="0" fontId="4" fillId="0" borderId="0" xfId="0" applyFont="1" applyBorder="1" applyAlignment="1">
      <alignment horizontal="right"/>
    </xf>
    <xf numFmtId="0" fontId="5" fillId="0" borderId="0" xfId="3" applyFont="1" applyBorder="1"/>
    <xf numFmtId="0" fontId="4" fillId="0" borderId="1" xfId="3" applyFont="1" applyBorder="1" applyAlignment="1">
      <alignment horizontal="left"/>
    </xf>
    <xf numFmtId="3" fontId="4" fillId="0" borderId="1" xfId="3" applyNumberFormat="1" applyFont="1" applyBorder="1"/>
    <xf numFmtId="165" fontId="4" fillId="0" borderId="1" xfId="5" applyNumberFormat="1" applyFont="1" applyBorder="1"/>
    <xf numFmtId="0" fontId="4" fillId="0" borderId="0" xfId="0" applyFont="1" applyAlignment="1">
      <alignment horizontal="center"/>
    </xf>
    <xf numFmtId="173" fontId="4" fillId="0" borderId="0" xfId="3" applyNumberFormat="1" applyFont="1"/>
    <xf numFmtId="14" fontId="4" fillId="0" borderId="0" xfId="0" applyNumberFormat="1" applyFont="1"/>
    <xf numFmtId="14" fontId="4" fillId="0" borderId="1" xfId="0" applyNumberFormat="1" applyFont="1" applyBorder="1"/>
    <xf numFmtId="1" fontId="4" fillId="0" borderId="1" xfId="0" applyNumberFormat="1" applyFont="1" applyBorder="1"/>
    <xf numFmtId="0" fontId="4" fillId="0" borderId="3" xfId="0" applyFont="1" applyBorder="1"/>
    <xf numFmtId="3" fontId="4" fillId="0" borderId="3" xfId="0" applyNumberFormat="1" applyFont="1" applyBorder="1"/>
    <xf numFmtId="0" fontId="4" fillId="0" borderId="0" xfId="0" applyFont="1" applyBorder="1"/>
    <xf numFmtId="3" fontId="4" fillId="0" borderId="0" xfId="0" applyNumberFormat="1" applyFont="1" applyBorder="1"/>
    <xf numFmtId="0" fontId="4" fillId="0" borderId="0" xfId="0" applyFont="1" applyAlignment="1">
      <alignment horizontal="left" vertical="top"/>
    </xf>
    <xf numFmtId="2" fontId="4" fillId="0" borderId="0" xfId="0" applyNumberFormat="1" applyFont="1" applyAlignment="1">
      <alignment horizontal="right"/>
    </xf>
    <xf numFmtId="43" fontId="4" fillId="0" borderId="0" xfId="2" applyFont="1" applyAlignment="1">
      <alignment horizontal="right"/>
    </xf>
    <xf numFmtId="0" fontId="4" fillId="0" borderId="2" xfId="0" applyFont="1" applyBorder="1" applyAlignment="1">
      <alignment horizontal="left" vertical="top"/>
    </xf>
    <xf numFmtId="2" fontId="4" fillId="0" borderId="2" xfId="0" applyNumberFormat="1" applyFont="1" applyBorder="1" applyAlignment="1">
      <alignment horizontal="right"/>
    </xf>
    <xf numFmtId="43" fontId="4" fillId="0" borderId="2" xfId="2" applyFont="1" applyBorder="1" applyAlignment="1">
      <alignment horizontal="right"/>
    </xf>
    <xf numFmtId="9" fontId="4" fillId="0" borderId="0" xfId="0" applyNumberFormat="1" applyFont="1" applyAlignment="1">
      <alignment horizontal="right"/>
    </xf>
    <xf numFmtId="0" fontId="4" fillId="0" borderId="2" xfId="0" applyFont="1" applyBorder="1" applyAlignment="1">
      <alignment horizontal="left"/>
    </xf>
    <xf numFmtId="9" fontId="4" fillId="0" borderId="2" xfId="0" applyNumberFormat="1" applyFont="1" applyBorder="1" applyAlignment="1">
      <alignment horizontal="right"/>
    </xf>
    <xf numFmtId="0" fontId="14" fillId="0" borderId="0" xfId="0" applyFont="1"/>
    <xf numFmtId="0" fontId="15" fillId="0" borderId="0" xfId="0" applyFont="1" applyAlignment="1">
      <alignment horizontal="center"/>
    </xf>
    <xf numFmtId="1" fontId="4" fillId="0" borderId="0" xfId="0" applyNumberFormat="1" applyFont="1" applyAlignment="1">
      <alignment horizontal="center"/>
    </xf>
    <xf numFmtId="3" fontId="4" fillId="0" borderId="2" xfId="0" applyNumberFormat="1" applyFont="1" applyBorder="1"/>
    <xf numFmtId="4" fontId="4" fillId="0" borderId="0" xfId="0" applyNumberFormat="1" applyFont="1" applyAlignment="1">
      <alignment horizontal="right"/>
    </xf>
    <xf numFmtId="167" fontId="4" fillId="0" borderId="0" xfId="0" applyNumberFormat="1" applyFont="1" applyAlignment="1">
      <alignment horizontal="right"/>
    </xf>
    <xf numFmtId="0" fontId="4" fillId="0" borderId="0" xfId="0" applyFont="1" applyFill="1"/>
    <xf numFmtId="3" fontId="4" fillId="0" borderId="0" xfId="0" applyNumberFormat="1" applyFont="1" applyFill="1"/>
    <xf numFmtId="0" fontId="4" fillId="0" borderId="0" xfId="0" applyFont="1" applyFill="1" applyBorder="1" applyAlignment="1">
      <alignment horizontal="right"/>
    </xf>
    <xf numFmtId="0" fontId="4" fillId="0" borderId="0" xfId="0" applyFont="1" applyFill="1" applyBorder="1" applyAlignment="1">
      <alignment horizontal="left"/>
    </xf>
    <xf numFmtId="0" fontId="4" fillId="0" borderId="0" xfId="0" applyFont="1" applyAlignment="1">
      <alignment horizontal="center"/>
    </xf>
    <xf numFmtId="0" fontId="5" fillId="0" borderId="0" xfId="3" applyFont="1" applyAlignment="1">
      <alignment horizontal="center"/>
    </xf>
    <xf numFmtId="0" fontId="4" fillId="0" borderId="0" xfId="3" applyFont="1" applyAlignment="1">
      <alignment horizontal="center"/>
    </xf>
    <xf numFmtId="3" fontId="4" fillId="0" borderId="0" xfId="0" applyNumberFormat="1" applyFont="1" applyAlignment="1">
      <alignment horizontal="center"/>
    </xf>
    <xf numFmtId="0" fontId="18" fillId="0" borderId="0" xfId="0" applyFont="1" applyBorder="1" applyAlignment="1">
      <alignment horizontal="center" vertical="center" wrapText="1"/>
    </xf>
  </cellXfs>
  <cellStyles count="6">
    <cellStyle name="Comma 2" xfId="1" xr:uid="{00000000-0005-0000-0000-000001000000}"/>
    <cellStyle name="Komma" xfId="2" builtinId="3"/>
    <cellStyle name="Normal" xfId="0" builtinId="0"/>
    <cellStyle name="Normal 2" xfId="3" xr:uid="{00000000-0005-0000-0000-000003000000}"/>
    <cellStyle name="Percent 2" xfId="4" xr:uid="{00000000-0005-0000-0000-000005000000}"/>
    <cellStyle name="Prosent" xfId="5"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charts/_rels/chart4.xml.rels><?xml version="1.0" encoding="UTF-8" standalone="yes"?>
<Relationships xmlns="http://schemas.openxmlformats.org/package/2006/relationships"><Relationship Id="rId1" Type="http://schemas.openxmlformats.org/officeDocument/2006/relationships/image" Target="../media/image3.png"/></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v>Produkt A</c:v>
          </c:tx>
          <c:marker>
            <c:symbol val="none"/>
          </c:marker>
          <c:cat>
            <c:numRef>
              <c:f>'Oppgave 5.3'!$B$2:$L$2</c:f>
              <c:numCache>
                <c:formatCode>General</c:formatCode>
                <c:ptCount val="11"/>
                <c:pt idx="0">
                  <c:v>2020</c:v>
                </c:pt>
                <c:pt idx="1">
                  <c:v>2021</c:v>
                </c:pt>
                <c:pt idx="2">
                  <c:v>2022</c:v>
                </c:pt>
                <c:pt idx="3">
                  <c:v>2023</c:v>
                </c:pt>
                <c:pt idx="4">
                  <c:v>2024</c:v>
                </c:pt>
                <c:pt idx="5">
                  <c:v>2025</c:v>
                </c:pt>
                <c:pt idx="6">
                  <c:v>2026</c:v>
                </c:pt>
                <c:pt idx="7">
                  <c:v>2027</c:v>
                </c:pt>
                <c:pt idx="8">
                  <c:v>2028</c:v>
                </c:pt>
                <c:pt idx="9">
                  <c:v>2029</c:v>
                </c:pt>
                <c:pt idx="10">
                  <c:v>2030</c:v>
                </c:pt>
              </c:numCache>
            </c:numRef>
          </c:cat>
          <c:val>
            <c:numLit>
              <c:formatCode>General</c:formatCode>
              <c:ptCount val="11"/>
              <c:pt idx="0">
                <c:v>350</c:v>
              </c:pt>
              <c:pt idx="1">
                <c:v>310</c:v>
              </c:pt>
              <c:pt idx="2">
                <c:v>355</c:v>
              </c:pt>
              <c:pt idx="3">
                <c:v>315</c:v>
              </c:pt>
              <c:pt idx="4">
                <c:v>340</c:v>
              </c:pt>
              <c:pt idx="5">
                <c:v>320</c:v>
              </c:pt>
              <c:pt idx="6">
                <c:v>360</c:v>
              </c:pt>
              <c:pt idx="7">
                <c:v>310</c:v>
              </c:pt>
              <c:pt idx="8">
                <c:v>340</c:v>
              </c:pt>
              <c:pt idx="9">
                <c:v>330</c:v>
              </c:pt>
              <c:pt idx="10">
                <c:v>350</c:v>
              </c:pt>
            </c:numLit>
          </c:val>
          <c:smooth val="0"/>
          <c:extLst>
            <c:ext xmlns:c16="http://schemas.microsoft.com/office/drawing/2014/chart" uri="{C3380CC4-5D6E-409C-BE32-E72D297353CC}">
              <c16:uniqueId val="{00000000-FD5C-4E95-AA95-E2E0D567C866}"/>
            </c:ext>
          </c:extLst>
        </c:ser>
        <c:ser>
          <c:idx val="1"/>
          <c:order val="1"/>
          <c:tx>
            <c:v>Produkt B</c:v>
          </c:tx>
          <c:marker>
            <c:symbol val="none"/>
          </c:marker>
          <c:cat>
            <c:numRef>
              <c:f>'Oppgave 5.3'!$B$2:$L$2</c:f>
              <c:numCache>
                <c:formatCode>General</c:formatCode>
                <c:ptCount val="11"/>
                <c:pt idx="0">
                  <c:v>2020</c:v>
                </c:pt>
                <c:pt idx="1">
                  <c:v>2021</c:v>
                </c:pt>
                <c:pt idx="2">
                  <c:v>2022</c:v>
                </c:pt>
                <c:pt idx="3">
                  <c:v>2023</c:v>
                </c:pt>
                <c:pt idx="4">
                  <c:v>2024</c:v>
                </c:pt>
                <c:pt idx="5">
                  <c:v>2025</c:v>
                </c:pt>
                <c:pt idx="6">
                  <c:v>2026</c:v>
                </c:pt>
                <c:pt idx="7">
                  <c:v>2027</c:v>
                </c:pt>
                <c:pt idx="8">
                  <c:v>2028</c:v>
                </c:pt>
                <c:pt idx="9">
                  <c:v>2029</c:v>
                </c:pt>
                <c:pt idx="10">
                  <c:v>2030</c:v>
                </c:pt>
              </c:numCache>
            </c:numRef>
          </c:cat>
          <c:val>
            <c:numLit>
              <c:formatCode>General</c:formatCode>
              <c:ptCount val="11"/>
              <c:pt idx="0">
                <c:v>200</c:v>
              </c:pt>
              <c:pt idx="1">
                <c:v>250</c:v>
              </c:pt>
              <c:pt idx="2">
                <c:v>300</c:v>
              </c:pt>
              <c:pt idx="3">
                <c:v>290</c:v>
              </c:pt>
              <c:pt idx="4">
                <c:v>150</c:v>
              </c:pt>
              <c:pt idx="5">
                <c:v>400</c:v>
              </c:pt>
              <c:pt idx="6">
                <c:v>400</c:v>
              </c:pt>
              <c:pt idx="7">
                <c:v>430</c:v>
              </c:pt>
              <c:pt idx="8">
                <c:v>600</c:v>
              </c:pt>
              <c:pt idx="9">
                <c:v>200</c:v>
              </c:pt>
              <c:pt idx="10">
                <c:v>100</c:v>
              </c:pt>
            </c:numLit>
          </c:val>
          <c:smooth val="0"/>
          <c:extLst>
            <c:ext xmlns:c16="http://schemas.microsoft.com/office/drawing/2014/chart" uri="{C3380CC4-5D6E-409C-BE32-E72D297353CC}">
              <c16:uniqueId val="{00000001-FD5C-4E95-AA95-E2E0D567C866}"/>
            </c:ext>
          </c:extLst>
        </c:ser>
        <c:dLbls>
          <c:showLegendKey val="0"/>
          <c:showVal val="0"/>
          <c:showCatName val="0"/>
          <c:showSerName val="0"/>
          <c:showPercent val="0"/>
          <c:showBubbleSize val="0"/>
        </c:dLbls>
        <c:smooth val="0"/>
        <c:axId val="396575160"/>
        <c:axId val="1"/>
      </c:lineChart>
      <c:catAx>
        <c:axId val="396575160"/>
        <c:scaling>
          <c:orientation val="minMax"/>
        </c:scaling>
        <c:delete val="0"/>
        <c:axPos val="b"/>
        <c:title>
          <c:tx>
            <c:rich>
              <a:bodyPr/>
              <a:lstStyle/>
              <a:p>
                <a:pPr>
                  <a:defRPr b="0"/>
                </a:pPr>
                <a:r>
                  <a:rPr lang="en-US" b="0"/>
                  <a:t>År</a:t>
                </a:r>
              </a:p>
            </c:rich>
          </c:tx>
          <c:overlay val="0"/>
        </c:title>
        <c:numFmt formatCode="General" sourceLinked="1"/>
        <c:majorTickMark val="out"/>
        <c:minorTickMark val="none"/>
        <c:tickLblPos val="nextTo"/>
        <c:crossAx val="1"/>
        <c:crosses val="autoZero"/>
        <c:auto val="1"/>
        <c:lblAlgn val="ctr"/>
        <c:lblOffset val="100"/>
        <c:tickLblSkip val="2"/>
        <c:noMultiLvlLbl val="0"/>
      </c:catAx>
      <c:valAx>
        <c:axId val="1"/>
        <c:scaling>
          <c:orientation val="minMax"/>
        </c:scaling>
        <c:delete val="0"/>
        <c:axPos val="l"/>
        <c:title>
          <c:tx>
            <c:rich>
              <a:bodyPr rot="-5400000" vert="horz"/>
              <a:lstStyle/>
              <a:p>
                <a:pPr>
                  <a:defRPr b="0"/>
                </a:pPr>
                <a:r>
                  <a:rPr lang="en-US" b="0"/>
                  <a:t>Salgsvolum (tusen enheter)</a:t>
                </a:r>
              </a:p>
            </c:rich>
          </c:tx>
          <c:overlay val="0"/>
        </c:title>
        <c:numFmt formatCode="General" sourceLinked="1"/>
        <c:majorTickMark val="out"/>
        <c:minorTickMark val="none"/>
        <c:tickLblPos val="nextTo"/>
        <c:crossAx val="396575160"/>
        <c:crosses val="autoZero"/>
        <c:crossBetween val="midCat"/>
      </c:valAx>
    </c:plotArea>
    <c:legend>
      <c:legendPos val="r"/>
      <c:layout>
        <c:manualLayout>
          <c:xMode val="edge"/>
          <c:yMode val="edge"/>
          <c:x val="0.81340723612863053"/>
          <c:y val="0.43067970674233369"/>
          <c:w val="0.16847855893087446"/>
          <c:h val="0.14159332824405491"/>
        </c:manualLayout>
      </c:layout>
      <c:overlay val="0"/>
    </c:legend>
    <c:plotVisOnly val="1"/>
    <c:dispBlanksAs val="gap"/>
    <c:showDLblsOverMax val="0"/>
  </c:chart>
  <c:spPr>
    <a:ln>
      <a:noFill/>
    </a:ln>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'Oppgave 5.4a'!$C$1</c:f>
          <c:strCache>
            <c:ptCount val="1"/>
          </c:strCache>
        </c:strRef>
      </c:tx>
      <c:overlay val="1"/>
    </c:title>
    <c:autoTitleDeleted val="0"/>
    <c:plotArea>
      <c:layout>
        <c:manualLayout>
          <c:layoutTarget val="inner"/>
          <c:xMode val="edge"/>
          <c:yMode val="edge"/>
          <c:x val="0.21951040061176885"/>
          <c:y val="8.6781828482893397E-2"/>
          <c:w val="0.6276328289152534"/>
          <c:h val="0.76679200342247955"/>
        </c:manualLayout>
      </c:layout>
      <c:lineChart>
        <c:grouping val="standard"/>
        <c:varyColors val="0"/>
        <c:ser>
          <c:idx val="2"/>
          <c:order val="0"/>
          <c:tx>
            <c:strRef>
              <c:f>'Oppgave 5.4a'!$A$13</c:f>
              <c:strCache>
                <c:ptCount val="1"/>
                <c:pt idx="0">
                  <c:v>Differansekontantstrøm</c:v>
                </c:pt>
              </c:strCache>
            </c:strRef>
          </c:tx>
          <c:marker>
            <c:symbol val="none"/>
          </c:marker>
          <c:cat>
            <c:numRef>
              <c:f>'Oppgave 5.4a'!$A$26:$G$26</c:f>
              <c:numCache>
                <c:formatCode>_(* #\ ##0_);_(* \(#\ ##0\);_(* "-"??_);_(@_)</c:formatCode>
                <c:ptCount val="7"/>
                <c:pt idx="1">
                  <c:v>5</c:v>
                </c:pt>
                <c:pt idx="2">
                  <c:v>10</c:v>
                </c:pt>
                <c:pt idx="3">
                  <c:v>15.000000000000002</c:v>
                </c:pt>
                <c:pt idx="4">
                  <c:v>20</c:v>
                </c:pt>
                <c:pt idx="5">
                  <c:v>25</c:v>
                </c:pt>
                <c:pt idx="6">
                  <c:v>30</c:v>
                </c:pt>
              </c:numCache>
            </c:numRef>
          </c:cat>
          <c:val>
            <c:numRef>
              <c:f>'Oppgave 5.4a'!$B$13:$H$13</c:f>
              <c:numCache>
                <c:formatCode>#,##0</c:formatCode>
                <c:ptCount val="7"/>
                <c:pt idx="0">
                  <c:v>0.99793644101963064</c:v>
                </c:pt>
                <c:pt idx="1">
                  <c:v>22.229162903127531</c:v>
                </c:pt>
                <c:pt idx="2">
                  <c:v>38.64622391982769</c:v>
                </c:pt>
                <c:pt idx="3">
                  <c:v>51.360700649880236</c:v>
                </c:pt>
                <c:pt idx="4">
                  <c:v>61.202708546016424</c:v>
                </c:pt>
                <c:pt idx="5">
                  <c:v>68.799154766241628</c:v>
                </c:pt>
                <c:pt idx="6">
                  <c:v>74.628317090094768</c:v>
                </c:pt>
              </c:numCache>
            </c:numRef>
          </c:val>
          <c:smooth val="1"/>
          <c:extLst>
            <c:ext xmlns:c16="http://schemas.microsoft.com/office/drawing/2014/chart" uri="{C3380CC4-5D6E-409C-BE32-E72D297353CC}">
              <c16:uniqueId val="{00000000-9F1C-40DE-BD02-CB47EB77DA2F}"/>
            </c:ext>
          </c:extLst>
        </c:ser>
        <c:dLbls>
          <c:showLegendKey val="0"/>
          <c:showVal val="0"/>
          <c:showCatName val="0"/>
          <c:showSerName val="0"/>
          <c:showPercent val="0"/>
          <c:showBubbleSize val="0"/>
        </c:dLbls>
        <c:smooth val="0"/>
        <c:axId val="396577784"/>
        <c:axId val="1"/>
      </c:lineChart>
      <c:catAx>
        <c:axId val="396577784"/>
        <c:scaling>
          <c:orientation val="minMax"/>
        </c:scaling>
        <c:delete val="0"/>
        <c:axPos val="b"/>
        <c:title>
          <c:tx>
            <c:rich>
              <a:bodyPr/>
              <a:lstStyle/>
              <a:p>
                <a:pPr>
                  <a:defRPr/>
                </a:pPr>
                <a:r>
                  <a:rPr lang="nb-NO"/>
                  <a:t>Kapitalkostnad (%)</a:t>
                </a:r>
              </a:p>
            </c:rich>
          </c:tx>
          <c:layout>
            <c:manualLayout>
              <c:xMode val="edge"/>
              <c:yMode val="edge"/>
              <c:x val="0.35165735052349223"/>
              <c:y val="0.91575590551181107"/>
            </c:manualLayout>
          </c:layout>
          <c:overlay val="0"/>
        </c:title>
        <c:numFmt formatCode="General" sourceLinked="1"/>
        <c:majorTickMark val="out"/>
        <c:minorTickMark val="none"/>
        <c:tickLblPos val="nextTo"/>
        <c:txPr>
          <a:bodyPr rot="0" vert="horz"/>
          <a:lstStyle/>
          <a:p>
            <a:pPr>
              <a:defRPr/>
            </a:pPr>
            <a:endParaRPr lang="nb-NO"/>
          </a:p>
        </c:txPr>
        <c:crossAx val="1"/>
        <c:crosses val="autoZero"/>
        <c:auto val="1"/>
        <c:lblAlgn val="ctr"/>
        <c:lblOffset val="100"/>
        <c:noMultiLvlLbl val="0"/>
      </c:catAx>
      <c:valAx>
        <c:axId val="1"/>
        <c:scaling>
          <c:orientation val="minMax"/>
          <c:max val="80"/>
        </c:scaling>
        <c:delete val="0"/>
        <c:axPos val="l"/>
        <c:title>
          <c:tx>
            <c:rich>
              <a:bodyPr/>
              <a:lstStyle/>
              <a:p>
                <a:pPr>
                  <a:defRPr/>
                </a:pPr>
                <a:r>
                  <a:rPr lang="nb-NO"/>
                  <a:t>Nåverdi (tusen kroner)</a:t>
                </a:r>
              </a:p>
            </c:rich>
          </c:tx>
          <c:overlay val="0"/>
        </c:title>
        <c:numFmt formatCode="#,##0" sourceLinked="1"/>
        <c:majorTickMark val="out"/>
        <c:minorTickMark val="none"/>
        <c:tickLblPos val="nextTo"/>
        <c:txPr>
          <a:bodyPr rot="0" vert="horz"/>
          <a:lstStyle/>
          <a:p>
            <a:pPr>
              <a:defRPr/>
            </a:pPr>
            <a:endParaRPr lang="nb-NO"/>
          </a:p>
        </c:txPr>
        <c:crossAx val="396577784"/>
        <c:crosses val="autoZero"/>
        <c:crossBetween val="midCat"/>
        <c:majorUnit val="10"/>
      </c:valAx>
    </c:plotArea>
    <c:plotVisOnly val="1"/>
    <c:dispBlanksAs val="gap"/>
    <c:showDLblsOverMax val="0"/>
  </c:chart>
  <c:spPr>
    <a:ln>
      <a:noFill/>
    </a:ln>
  </c:spPr>
  <c:txPr>
    <a:bodyPr/>
    <a:lstStyle/>
    <a:p>
      <a:pPr>
        <a:defRPr sz="1100" b="0" i="0" u="none" strike="noStrike" baseline="0">
          <a:solidFill>
            <a:srgbClr val="000000"/>
          </a:solidFill>
          <a:latin typeface="Times New Roman" panose="02020603050405020304" pitchFamily="18" charset="0"/>
          <a:ea typeface="Calibri"/>
          <a:cs typeface="Times New Roman" panose="02020603050405020304" pitchFamily="18" charset="0"/>
        </a:defRPr>
      </a:pPr>
      <a:endParaRPr lang="nb-N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'Oppgave 5.4b'!$C$1</c:f>
          <c:strCache>
            <c:ptCount val="1"/>
          </c:strCache>
        </c:strRef>
      </c:tx>
      <c:overlay val="1"/>
    </c:title>
    <c:autoTitleDeleted val="0"/>
    <c:plotArea>
      <c:layout>
        <c:manualLayout>
          <c:layoutTarget val="inner"/>
          <c:xMode val="edge"/>
          <c:yMode val="edge"/>
          <c:x val="0.10221642002032394"/>
          <c:y val="4.5492736054222216E-2"/>
          <c:w val="0.67043874731235786"/>
          <c:h val="0.88720312037260118"/>
        </c:manualLayout>
      </c:layout>
      <c:lineChart>
        <c:grouping val="standard"/>
        <c:varyColors val="0"/>
        <c:ser>
          <c:idx val="2"/>
          <c:order val="0"/>
          <c:tx>
            <c:strRef>
              <c:f>'Oppgave 5.4b'!$A$13</c:f>
              <c:strCache>
                <c:ptCount val="1"/>
                <c:pt idx="0">
                  <c:v>Differansekontantstrøm</c:v>
                </c:pt>
              </c:strCache>
            </c:strRef>
          </c:tx>
          <c:marker>
            <c:symbol val="none"/>
          </c:marker>
          <c:cat>
            <c:numRef>
              <c:f>'Oppgave 5.4b'!$A$26:$G$26</c:f>
              <c:numCache>
                <c:formatCode>_(* #\ ##0_);_(* \(#\ ##0\);_(* "-"??_);_(@_)</c:formatCode>
                <c:ptCount val="7"/>
                <c:pt idx="1">
                  <c:v>5</c:v>
                </c:pt>
                <c:pt idx="2">
                  <c:v>10</c:v>
                </c:pt>
                <c:pt idx="3">
                  <c:v>15.000000000000002</c:v>
                </c:pt>
                <c:pt idx="4">
                  <c:v>20</c:v>
                </c:pt>
                <c:pt idx="5">
                  <c:v>25</c:v>
                </c:pt>
                <c:pt idx="6">
                  <c:v>30</c:v>
                </c:pt>
              </c:numCache>
            </c:numRef>
          </c:cat>
          <c:val>
            <c:numRef>
              <c:f>'Oppgave 5.4b'!$B$13:$H$13</c:f>
              <c:numCache>
                <c:formatCode>#,##0</c:formatCode>
                <c:ptCount val="7"/>
                <c:pt idx="0">
                  <c:v>4.4408920985006262E-14</c:v>
                </c:pt>
                <c:pt idx="1">
                  <c:v>-308.64701436130002</c:v>
                </c:pt>
                <c:pt idx="2">
                  <c:v>-564.53042824943668</c:v>
                </c:pt>
                <c:pt idx="3">
                  <c:v>-778.25429440289258</c:v>
                </c:pt>
                <c:pt idx="4">
                  <c:v>-957.96296296296282</c:v>
                </c:pt>
                <c:pt idx="5">
                  <c:v>-1109.9839999999999</c:v>
                </c:pt>
                <c:pt idx="6">
                  <c:v>-1239.2853891670466</c:v>
                </c:pt>
              </c:numCache>
            </c:numRef>
          </c:val>
          <c:smooth val="1"/>
          <c:extLst>
            <c:ext xmlns:c16="http://schemas.microsoft.com/office/drawing/2014/chart" uri="{C3380CC4-5D6E-409C-BE32-E72D297353CC}">
              <c16:uniqueId val="{00000000-54DE-4A44-880B-2020B316D0DA}"/>
            </c:ext>
          </c:extLst>
        </c:ser>
        <c:dLbls>
          <c:showLegendKey val="0"/>
          <c:showVal val="0"/>
          <c:showCatName val="0"/>
          <c:showSerName val="0"/>
          <c:showPercent val="0"/>
          <c:showBubbleSize val="0"/>
        </c:dLbls>
        <c:smooth val="0"/>
        <c:axId val="396584016"/>
        <c:axId val="1"/>
      </c:lineChart>
      <c:catAx>
        <c:axId val="396584016"/>
        <c:scaling>
          <c:orientation val="minMax"/>
        </c:scaling>
        <c:delete val="0"/>
        <c:axPos val="b"/>
        <c:title>
          <c:tx>
            <c:rich>
              <a:bodyPr/>
              <a:lstStyle/>
              <a:p>
                <a:pPr>
                  <a:defRPr/>
                </a:pPr>
                <a:r>
                  <a:rPr lang="nb-NO"/>
                  <a:t>Kapitalkostnad (%)</a:t>
                </a:r>
              </a:p>
            </c:rich>
          </c:tx>
          <c:layout>
            <c:manualLayout>
              <c:xMode val="edge"/>
              <c:yMode val="edge"/>
              <c:x val="0.53689775779372262"/>
              <c:y val="8.6412320006960475E-2"/>
            </c:manualLayout>
          </c:layout>
          <c:overlay val="0"/>
        </c:title>
        <c:numFmt formatCode="General" sourceLinked="1"/>
        <c:majorTickMark val="out"/>
        <c:minorTickMark val="none"/>
        <c:tickLblPos val="nextTo"/>
        <c:txPr>
          <a:bodyPr rot="0" vert="horz"/>
          <a:lstStyle/>
          <a:p>
            <a:pPr>
              <a:defRPr/>
            </a:pPr>
            <a:endParaRPr lang="nb-NO"/>
          </a:p>
        </c:txPr>
        <c:crossAx val="1"/>
        <c:crosses val="autoZero"/>
        <c:auto val="1"/>
        <c:lblAlgn val="ctr"/>
        <c:lblOffset val="100"/>
        <c:noMultiLvlLbl val="0"/>
      </c:catAx>
      <c:valAx>
        <c:axId val="1"/>
        <c:scaling>
          <c:orientation val="minMax"/>
        </c:scaling>
        <c:delete val="0"/>
        <c:axPos val="l"/>
        <c:title>
          <c:tx>
            <c:rich>
              <a:bodyPr/>
              <a:lstStyle/>
              <a:p>
                <a:pPr>
                  <a:defRPr/>
                </a:pPr>
                <a:r>
                  <a:rPr lang="en-US"/>
                  <a:t>Nåverdi (tusen kroner)</a:t>
                </a:r>
              </a:p>
            </c:rich>
          </c:tx>
          <c:overlay val="0"/>
        </c:title>
        <c:numFmt formatCode="#,##0" sourceLinked="1"/>
        <c:majorTickMark val="out"/>
        <c:minorTickMark val="none"/>
        <c:tickLblPos val="nextTo"/>
        <c:txPr>
          <a:bodyPr rot="0" vert="horz"/>
          <a:lstStyle/>
          <a:p>
            <a:pPr>
              <a:defRPr/>
            </a:pPr>
            <a:endParaRPr lang="nb-NO"/>
          </a:p>
        </c:txPr>
        <c:crossAx val="396584016"/>
        <c:crosses val="autoZero"/>
        <c:crossBetween val="midCat"/>
      </c:valAx>
    </c:plotArea>
    <c:plotVisOnly val="1"/>
    <c:dispBlanksAs val="gap"/>
    <c:showDLblsOverMax val="0"/>
  </c:chart>
  <c:spPr>
    <a:ln>
      <a:noFill/>
    </a:ln>
  </c:spPr>
  <c:txPr>
    <a:bodyPr/>
    <a:lstStyle/>
    <a:p>
      <a:pPr>
        <a:defRPr sz="1100" b="0" i="0" u="none" strike="noStrike" baseline="0">
          <a:solidFill>
            <a:srgbClr val="000000"/>
          </a:solidFill>
          <a:latin typeface="Times New Roman" panose="02020603050405020304" pitchFamily="18" charset="0"/>
          <a:ea typeface="Calibri"/>
          <a:cs typeface="Times New Roman" panose="02020603050405020304" pitchFamily="18" charset="0"/>
        </a:defRPr>
      </a:pPr>
      <a:endParaRPr lang="nb-N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831731700060918"/>
          <c:y val="7.512953367875648E-2"/>
          <c:w val="0.66924628003947806"/>
          <c:h val="0.7409326424870466"/>
        </c:manualLayout>
      </c:layout>
      <c:barChart>
        <c:barDir val="col"/>
        <c:grouping val="clustered"/>
        <c:varyColors val="0"/>
        <c:ser>
          <c:idx val="0"/>
          <c:order val="0"/>
          <c:tx>
            <c:strRef>
              <c:f>'Oppgave 5.6'!$B$26</c:f>
              <c:strCache>
                <c:ptCount val="1"/>
                <c:pt idx="0">
                  <c:v>Serielån</c:v>
                </c:pt>
              </c:strCache>
            </c:strRef>
          </c:tx>
          <c:spPr>
            <a:blipFill dpi="0" rotWithShape="0">
              <a:blip xmlns:r="http://schemas.openxmlformats.org/officeDocument/2006/relationships" r:embed="rId1"/>
              <a:srcRect/>
              <a:tile tx="0" ty="0" sx="100000" sy="100000" flip="none" algn="tl"/>
            </a:blipFill>
            <a:ln w="12700">
              <a:solidFill>
                <a:srgbClr val="000000"/>
              </a:solidFill>
              <a:prstDash val="solid"/>
            </a:ln>
          </c:spPr>
          <c:invertIfNegative val="0"/>
          <c:cat>
            <c:numRef>
              <c:f>'Oppgave 5.6'!$C$25:$V$25</c:f>
              <c:numCache>
                <c:formatCode>#,##0</c:formatCode>
                <c:ptCount val="2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numCache>
            </c:numRef>
          </c:cat>
          <c:val>
            <c:numRef>
              <c:f>'Oppgave 5.6'!$C$26:$V$26</c:f>
              <c:numCache>
                <c:formatCode>#,##0</c:formatCode>
                <c:ptCount val="20"/>
                <c:pt idx="0">
                  <c:v>144</c:v>
                </c:pt>
                <c:pt idx="1">
                  <c:v>140.80000000000001</c:v>
                </c:pt>
                <c:pt idx="2">
                  <c:v>137.6</c:v>
                </c:pt>
                <c:pt idx="3">
                  <c:v>134.4</c:v>
                </c:pt>
                <c:pt idx="4">
                  <c:v>131.19999999999999</c:v>
                </c:pt>
                <c:pt idx="5">
                  <c:v>128</c:v>
                </c:pt>
                <c:pt idx="6">
                  <c:v>124.8</c:v>
                </c:pt>
                <c:pt idx="7">
                  <c:v>121.6</c:v>
                </c:pt>
                <c:pt idx="8">
                  <c:v>118.4</c:v>
                </c:pt>
                <c:pt idx="9">
                  <c:v>115.2</c:v>
                </c:pt>
                <c:pt idx="10">
                  <c:v>112</c:v>
                </c:pt>
                <c:pt idx="11">
                  <c:v>108.8</c:v>
                </c:pt>
                <c:pt idx="12">
                  <c:v>105.6</c:v>
                </c:pt>
                <c:pt idx="13">
                  <c:v>102.4</c:v>
                </c:pt>
                <c:pt idx="14">
                  <c:v>99.2</c:v>
                </c:pt>
                <c:pt idx="15">
                  <c:v>96</c:v>
                </c:pt>
                <c:pt idx="16">
                  <c:v>92.8</c:v>
                </c:pt>
                <c:pt idx="17">
                  <c:v>89.6</c:v>
                </c:pt>
                <c:pt idx="18">
                  <c:v>86.4</c:v>
                </c:pt>
                <c:pt idx="19">
                  <c:v>83.2</c:v>
                </c:pt>
              </c:numCache>
            </c:numRef>
          </c:val>
          <c:extLst>
            <c:ext xmlns:c16="http://schemas.microsoft.com/office/drawing/2014/chart" uri="{C3380CC4-5D6E-409C-BE32-E72D297353CC}">
              <c16:uniqueId val="{00000000-6382-4CCB-8223-B34557C7B6A7}"/>
            </c:ext>
          </c:extLst>
        </c:ser>
        <c:ser>
          <c:idx val="1"/>
          <c:order val="1"/>
          <c:tx>
            <c:strRef>
              <c:f>'Oppgave 5.6'!$B$27</c:f>
              <c:strCache>
                <c:ptCount val="1"/>
                <c:pt idx="0">
                  <c:v>Annuitetslån</c:v>
                </c:pt>
              </c:strCache>
            </c:strRef>
          </c:tx>
          <c:spPr>
            <a:solidFill>
              <a:srgbClr val="802060"/>
            </a:solidFill>
            <a:ln w="12700">
              <a:solidFill>
                <a:srgbClr val="000000"/>
              </a:solidFill>
              <a:prstDash val="solid"/>
            </a:ln>
          </c:spPr>
          <c:invertIfNegative val="0"/>
          <c:cat>
            <c:numRef>
              <c:f>'Oppgave 5.6'!$C$25:$V$25</c:f>
              <c:numCache>
                <c:formatCode>#,##0</c:formatCode>
                <c:ptCount val="20"/>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numCache>
            </c:numRef>
          </c:cat>
          <c:val>
            <c:numRef>
              <c:f>'Oppgave 5.6'!$C$27:$V$27</c:f>
              <c:numCache>
                <c:formatCode>#,##0</c:formatCode>
                <c:ptCount val="20"/>
                <c:pt idx="0">
                  <c:v>117.73080052580623</c:v>
                </c:pt>
                <c:pt idx="1">
                  <c:v>117.73080052580623</c:v>
                </c:pt>
                <c:pt idx="2">
                  <c:v>117.73080052580623</c:v>
                </c:pt>
                <c:pt idx="3">
                  <c:v>117.73080052580623</c:v>
                </c:pt>
                <c:pt idx="4">
                  <c:v>117.73080052580623</c:v>
                </c:pt>
                <c:pt idx="5">
                  <c:v>117.73080052580623</c:v>
                </c:pt>
                <c:pt idx="6">
                  <c:v>117.73080052580623</c:v>
                </c:pt>
                <c:pt idx="7">
                  <c:v>117.73080052580623</c:v>
                </c:pt>
                <c:pt idx="8">
                  <c:v>117.73080052580623</c:v>
                </c:pt>
                <c:pt idx="9">
                  <c:v>117.73080052580623</c:v>
                </c:pt>
                <c:pt idx="10">
                  <c:v>117.73080052580623</c:v>
                </c:pt>
                <c:pt idx="11">
                  <c:v>117.73080052580623</c:v>
                </c:pt>
                <c:pt idx="12">
                  <c:v>117.73080052580623</c:v>
                </c:pt>
                <c:pt idx="13">
                  <c:v>117.73080052580623</c:v>
                </c:pt>
                <c:pt idx="14">
                  <c:v>117.73080052580623</c:v>
                </c:pt>
                <c:pt idx="15">
                  <c:v>117.73080052580623</c:v>
                </c:pt>
                <c:pt idx="16">
                  <c:v>117.73080052580623</c:v>
                </c:pt>
                <c:pt idx="17">
                  <c:v>117.73080052580623</c:v>
                </c:pt>
                <c:pt idx="18">
                  <c:v>117.73080052580623</c:v>
                </c:pt>
                <c:pt idx="19">
                  <c:v>117.73080052580623</c:v>
                </c:pt>
              </c:numCache>
            </c:numRef>
          </c:val>
          <c:extLst>
            <c:ext xmlns:c16="http://schemas.microsoft.com/office/drawing/2014/chart" uri="{C3380CC4-5D6E-409C-BE32-E72D297353CC}">
              <c16:uniqueId val="{00000001-6382-4CCB-8223-B34557C7B6A7}"/>
            </c:ext>
          </c:extLst>
        </c:ser>
        <c:dLbls>
          <c:showLegendKey val="0"/>
          <c:showVal val="0"/>
          <c:showCatName val="0"/>
          <c:showSerName val="0"/>
          <c:showPercent val="0"/>
          <c:showBubbleSize val="0"/>
        </c:dLbls>
        <c:gapWidth val="5"/>
        <c:axId val="396581392"/>
        <c:axId val="1"/>
      </c:barChart>
      <c:catAx>
        <c:axId val="396581392"/>
        <c:scaling>
          <c:orientation val="minMax"/>
        </c:scaling>
        <c:delete val="0"/>
        <c:axPos val="b"/>
        <c:title>
          <c:tx>
            <c:rich>
              <a:bodyPr/>
              <a:lstStyle/>
              <a:p>
                <a:pPr>
                  <a:defRPr sz="1100" b="0" i="0" u="none" strike="noStrike" baseline="0">
                    <a:solidFill>
                      <a:srgbClr val="000000"/>
                    </a:solidFill>
                    <a:latin typeface="Times New Roman"/>
                    <a:ea typeface="Times New Roman"/>
                    <a:cs typeface="Times New Roman"/>
                  </a:defRPr>
                </a:pPr>
                <a:r>
                  <a:rPr lang="nb-NO"/>
                  <a:t>År</a:t>
                </a:r>
              </a:p>
            </c:rich>
          </c:tx>
          <c:layout>
            <c:manualLayout>
              <c:xMode val="edge"/>
              <c:yMode val="edge"/>
              <c:x val="0.42359803103773846"/>
              <c:y val="0.89032810525912787"/>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Times New Roman"/>
                <a:ea typeface="Times New Roman"/>
                <a:cs typeface="Times New Roman"/>
              </a:defRPr>
            </a:pPr>
            <a:endParaRPr lang="nb-NO"/>
          </a:p>
        </c:txPr>
        <c:crossAx val="1"/>
        <c:crosses val="autoZero"/>
        <c:auto val="0"/>
        <c:lblAlgn val="ctr"/>
        <c:lblOffset val="100"/>
        <c:tickLblSkip val="1"/>
        <c:tickMarkSkip val="1"/>
        <c:noMultiLvlLbl val="0"/>
      </c:catAx>
      <c:valAx>
        <c:axId val="1"/>
        <c:scaling>
          <c:orientation val="minMax"/>
        </c:scaling>
        <c:delete val="0"/>
        <c:axPos val="l"/>
        <c:title>
          <c:tx>
            <c:rich>
              <a:bodyPr rot="0" vert="horz"/>
              <a:lstStyle/>
              <a:p>
                <a:pPr algn="ctr">
                  <a:defRPr sz="1100" b="0" i="0" u="none" strike="noStrike" baseline="0">
                    <a:solidFill>
                      <a:srgbClr val="000000"/>
                    </a:solidFill>
                    <a:latin typeface="Times New Roman"/>
                    <a:ea typeface="Times New Roman"/>
                    <a:cs typeface="Times New Roman"/>
                  </a:defRPr>
                </a:pPr>
                <a:r>
                  <a:rPr lang="nb-NO"/>
                  <a:t>Til banken (tusen kroner)</a:t>
                </a:r>
              </a:p>
            </c:rich>
          </c:tx>
          <c:layout>
            <c:manualLayout>
              <c:xMode val="edge"/>
              <c:yMode val="edge"/>
              <c:x val="0.16827880798951353"/>
              <c:y val="1.2953202567669317E-2"/>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Times New Roman"/>
                <a:ea typeface="Times New Roman"/>
                <a:cs typeface="Times New Roman"/>
              </a:defRPr>
            </a:pPr>
            <a:endParaRPr lang="nb-NO"/>
          </a:p>
        </c:txPr>
        <c:crossAx val="396581392"/>
        <c:crosses val="autoZero"/>
        <c:crossBetween val="between"/>
      </c:valAx>
      <c:spPr>
        <a:noFill/>
        <a:ln w="25400">
          <a:noFill/>
        </a:ln>
      </c:spPr>
    </c:plotArea>
    <c:legend>
      <c:legendPos val="r"/>
      <c:layout>
        <c:manualLayout>
          <c:xMode val="edge"/>
          <c:yMode val="edge"/>
          <c:x val="0.36541353383458647"/>
          <c:y val="0.9330036118316869"/>
          <c:w val="0.2511278195488722"/>
          <c:h val="5.9553422031809806E-2"/>
        </c:manualLayout>
      </c:layout>
      <c:overlay val="0"/>
      <c:spPr>
        <a:solidFill>
          <a:srgbClr val="FFFFFF"/>
        </a:solidFill>
        <a:ln w="3175">
          <a:solidFill>
            <a:srgbClr val="000000"/>
          </a:solidFill>
          <a:prstDash val="solid"/>
        </a:ln>
      </c:spPr>
      <c:txPr>
        <a:bodyPr/>
        <a:lstStyle/>
        <a:p>
          <a:pPr>
            <a:defRPr sz="1010" b="0" i="0" u="none" strike="noStrike" baseline="0">
              <a:solidFill>
                <a:srgbClr val="000000"/>
              </a:solidFill>
              <a:latin typeface="Times New Roman"/>
              <a:ea typeface="Times New Roman"/>
              <a:cs typeface="Times New Roman"/>
            </a:defRPr>
          </a:pPr>
          <a:endParaRPr lang="nb-NO"/>
        </a:p>
      </c:txPr>
    </c:legend>
    <c:plotVisOnly val="1"/>
    <c:dispBlanksAs val="gap"/>
    <c:showDLblsOverMax val="0"/>
  </c:chart>
  <c:spPr>
    <a:solidFill>
      <a:srgbClr val="FFFFFF"/>
    </a:solidFill>
    <a:ln w="9525">
      <a:noFill/>
    </a:ln>
  </c:spPr>
  <c:txPr>
    <a:bodyPr/>
    <a:lstStyle/>
    <a:p>
      <a:pPr>
        <a:defRPr sz="1100" b="0" i="0" u="none" strike="noStrike" baseline="0">
          <a:solidFill>
            <a:srgbClr val="000000"/>
          </a:solidFill>
          <a:latin typeface="Times New Roman"/>
          <a:ea typeface="Times New Roman"/>
          <a:cs typeface="Times New Roman"/>
        </a:defRPr>
      </a:pPr>
      <a:endParaRPr lang="nb-NO"/>
    </a:p>
  </c:txPr>
  <c:printSettings>
    <c:headerFooter alignWithMargins="0">
      <c:oddHeader>&amp;A</c:oddHeader>
      <c:oddFooter>Page &amp;P</c:oddFooter>
    </c:headerFooter>
    <c:pageMargins b="1" l="0.75" r="0.75" t="1" header="0.5" footer="0.5"/>
    <c:pageSetup paperSize="9" orientation="landscape" horizontalDpi="-4" verticalDpi="0"/>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3709884467265719E-2"/>
          <c:y val="5.4507449119351743E-2"/>
          <c:w val="0.87804878048780488"/>
          <c:h val="0.8427690209992077"/>
        </c:manualLayout>
      </c:layout>
      <c:lineChart>
        <c:grouping val="standard"/>
        <c:varyColors val="0"/>
        <c:ser>
          <c:idx val="0"/>
          <c:order val="0"/>
          <c:spPr>
            <a:ln w="12700">
              <a:solidFill>
                <a:srgbClr val="000080"/>
              </a:solidFill>
              <a:prstDash val="solid"/>
            </a:ln>
          </c:spPr>
          <c:marker>
            <c:symbol val="none"/>
          </c:marker>
          <c:cat>
            <c:numRef>
              <c:f>'Oppgave 5.9'!$I$12:$I$22</c:f>
              <c:numCache>
                <c:formatCode>General</c:formatCode>
                <c:ptCount val="11"/>
                <c:pt idx="1">
                  <c:v>1</c:v>
                </c:pt>
                <c:pt idx="2">
                  <c:v>2</c:v>
                </c:pt>
                <c:pt idx="3">
                  <c:v>3</c:v>
                </c:pt>
                <c:pt idx="4">
                  <c:v>4</c:v>
                </c:pt>
                <c:pt idx="5">
                  <c:v>5</c:v>
                </c:pt>
                <c:pt idx="6">
                  <c:v>6</c:v>
                </c:pt>
                <c:pt idx="7">
                  <c:v>7</c:v>
                </c:pt>
                <c:pt idx="8">
                  <c:v>8</c:v>
                </c:pt>
                <c:pt idx="9">
                  <c:v>9</c:v>
                </c:pt>
                <c:pt idx="10">
                  <c:v>10</c:v>
                </c:pt>
              </c:numCache>
            </c:numRef>
          </c:cat>
          <c:val>
            <c:numRef>
              <c:f>'Oppgave 5.9'!$G$12:$G$22</c:f>
              <c:numCache>
                <c:formatCode>#,##0</c:formatCode>
                <c:ptCount val="11"/>
                <c:pt idx="0">
                  <c:v>316.14999999999998</c:v>
                </c:pt>
                <c:pt idx="1">
                  <c:v>263.11312460223587</c:v>
                </c:pt>
                <c:pt idx="2">
                  <c:v>212.87888060689042</c:v>
                </c:pt>
                <c:pt idx="3">
                  <c:v>165.27192998972674</c:v>
                </c:pt>
                <c:pt idx="4">
                  <c:v>120.12950992278289</c:v>
                </c:pt>
                <c:pt idx="5">
                  <c:v>77.300419570611325</c:v>
                </c:pt>
                <c:pt idx="6">
                  <c:v>36.644097261628133</c:v>
                </c:pt>
                <c:pt idx="7" formatCode="#,##0.00">
                  <c:v>-1.9702207889460259</c:v>
                </c:pt>
                <c:pt idx="8">
                  <c:v>-38.664268093571884</c:v>
                </c:pt>
                <c:pt idx="9">
                  <c:v>-73.551448905643312</c:v>
                </c:pt>
                <c:pt idx="10">
                  <c:v>-106.73747895844537</c:v>
                </c:pt>
              </c:numCache>
            </c:numRef>
          </c:val>
          <c:smooth val="1"/>
          <c:extLst>
            <c:ext xmlns:c16="http://schemas.microsoft.com/office/drawing/2014/chart" uri="{C3380CC4-5D6E-409C-BE32-E72D297353CC}">
              <c16:uniqueId val="{00000000-BF2A-4F26-A1A0-335B34252A79}"/>
            </c:ext>
          </c:extLst>
        </c:ser>
        <c:dLbls>
          <c:showLegendKey val="0"/>
          <c:showVal val="0"/>
          <c:showCatName val="0"/>
          <c:showSerName val="0"/>
          <c:showPercent val="0"/>
          <c:showBubbleSize val="0"/>
        </c:dLbls>
        <c:smooth val="0"/>
        <c:axId val="396582704"/>
        <c:axId val="1"/>
      </c:lineChart>
      <c:catAx>
        <c:axId val="396582704"/>
        <c:scaling>
          <c:orientation val="minMax"/>
        </c:scaling>
        <c:delete val="0"/>
        <c:axPos val="b"/>
        <c:title>
          <c:tx>
            <c:rich>
              <a:bodyPr/>
              <a:lstStyle/>
              <a:p>
                <a:pPr>
                  <a:defRPr sz="1000" b="1" i="0" u="none" strike="noStrike" baseline="0">
                    <a:solidFill>
                      <a:srgbClr val="000000"/>
                    </a:solidFill>
                    <a:latin typeface="Times New Roman"/>
                    <a:ea typeface="Times New Roman"/>
                    <a:cs typeface="Times New Roman"/>
                  </a:defRPr>
                </a:pPr>
                <a:r>
                  <a:rPr lang="nb-NO"/>
                  <a:t>Årlig kapitalkostnad, %</a:t>
                </a:r>
              </a:p>
            </c:rich>
          </c:tx>
          <c:layout>
            <c:manualLayout>
              <c:xMode val="edge"/>
              <c:yMode val="edge"/>
              <c:x val="0.45699617111673646"/>
              <c:y val="0.92033742695743281"/>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Times New Roman"/>
                <a:ea typeface="Times New Roman"/>
                <a:cs typeface="Times New Roman"/>
              </a:defRPr>
            </a:pPr>
            <a:endParaRPr lang="nb-NO"/>
          </a:p>
        </c:txPr>
        <c:crossAx val="1"/>
        <c:crosses val="autoZero"/>
        <c:auto val="1"/>
        <c:lblAlgn val="ctr"/>
        <c:lblOffset val="100"/>
        <c:tickLblSkip val="1"/>
        <c:tickMarkSkip val="1"/>
        <c:noMultiLvlLbl val="0"/>
      </c:catAx>
      <c:valAx>
        <c:axId val="1"/>
        <c:scaling>
          <c:orientation val="minMax"/>
        </c:scaling>
        <c:delete val="0"/>
        <c:axPos val="l"/>
        <c:title>
          <c:tx>
            <c:rich>
              <a:bodyPr/>
              <a:lstStyle/>
              <a:p>
                <a:pPr>
                  <a:defRPr sz="1000" b="1" i="0" u="none" strike="noStrike" baseline="0">
                    <a:solidFill>
                      <a:srgbClr val="000000"/>
                    </a:solidFill>
                    <a:latin typeface="Times New Roman"/>
                    <a:ea typeface="Times New Roman"/>
                    <a:cs typeface="Times New Roman"/>
                  </a:defRPr>
                </a:pPr>
                <a:r>
                  <a:rPr lang="nb-NO"/>
                  <a:t>Nåverdi, tusen euro</a:t>
                </a:r>
              </a:p>
            </c:rich>
          </c:tx>
          <c:layout>
            <c:manualLayout>
              <c:xMode val="edge"/>
              <c:yMode val="edge"/>
              <c:x val="2.0539096587078472E-2"/>
              <c:y val="0.36058758087337844"/>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Times New Roman"/>
                <a:ea typeface="Times New Roman"/>
                <a:cs typeface="Times New Roman"/>
              </a:defRPr>
            </a:pPr>
            <a:endParaRPr lang="nb-NO"/>
          </a:p>
        </c:txPr>
        <c:crossAx val="396582704"/>
        <c:crosses val="autoZero"/>
        <c:crossBetween val="midCat"/>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Times New Roman"/>
          <a:ea typeface="Times New Roman"/>
          <a:cs typeface="Times New Roman"/>
        </a:defRPr>
      </a:pPr>
      <a:endParaRPr lang="nb-NO"/>
    </a:p>
  </c:txPr>
  <c:printSettings>
    <c:headerFooter alignWithMargins="0"/>
    <c:pageMargins b="1" l="0.75" r="0.75" t="1" header="0.5" footer="0.5"/>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6574654956085323E-2"/>
          <c:y val="7.3979591836734693E-2"/>
          <c:w val="0.88456712672521953"/>
          <c:h val="0.74489795918367352"/>
        </c:manualLayout>
      </c:layout>
      <c:lineChart>
        <c:grouping val="standard"/>
        <c:varyColors val="0"/>
        <c:ser>
          <c:idx val="0"/>
          <c:order val="0"/>
          <c:spPr>
            <a:ln w="12700">
              <a:solidFill>
                <a:srgbClr val="000000"/>
              </a:solidFill>
              <a:prstDash val="solid"/>
            </a:ln>
          </c:spPr>
          <c:marker>
            <c:symbol val="none"/>
          </c:marker>
          <c:cat>
            <c:numLit>
              <c:formatCode>General</c:formatCode>
              <c:ptCount val="13"/>
              <c:pt idx="1">
                <c:v>1</c:v>
              </c:pt>
              <c:pt idx="2">
                <c:v>2</c:v>
              </c:pt>
              <c:pt idx="3">
                <c:v>3</c:v>
              </c:pt>
              <c:pt idx="4">
                <c:v>4</c:v>
              </c:pt>
              <c:pt idx="5">
                <c:v>5</c:v>
              </c:pt>
              <c:pt idx="6">
                <c:v>6</c:v>
              </c:pt>
              <c:pt idx="7">
                <c:v>7</c:v>
              </c:pt>
              <c:pt idx="8">
                <c:v>8</c:v>
              </c:pt>
              <c:pt idx="9">
                <c:v>9</c:v>
              </c:pt>
              <c:pt idx="10">
                <c:v>10</c:v>
              </c:pt>
              <c:pt idx="11">
                <c:v>11</c:v>
              </c:pt>
              <c:pt idx="12">
                <c:v>12</c:v>
              </c:pt>
            </c:numLit>
          </c:cat>
          <c:val>
            <c:numLit>
              <c:formatCode>General</c:formatCode>
              <c:ptCount val="13"/>
              <c:pt idx="0">
                <c:v>24.307692307692307</c:v>
              </c:pt>
              <c:pt idx="1">
                <c:v>26.333333333333332</c:v>
              </c:pt>
              <c:pt idx="2">
                <c:v>28.72727272727273</c:v>
              </c:pt>
              <c:pt idx="3">
                <c:v>31.6</c:v>
              </c:pt>
              <c:pt idx="4">
                <c:v>35.111111111111114</c:v>
              </c:pt>
              <c:pt idx="5">
                <c:v>39.5</c:v>
              </c:pt>
              <c:pt idx="6">
                <c:v>45.142857142857139</c:v>
              </c:pt>
              <c:pt idx="7">
                <c:v>52.666666666666671</c:v>
              </c:pt>
              <c:pt idx="8">
                <c:v>63.2</c:v>
              </c:pt>
              <c:pt idx="9">
                <c:v>78.999999999999986</c:v>
              </c:pt>
              <c:pt idx="10">
                <c:v>105.33333333333334</c:v>
              </c:pt>
              <c:pt idx="11">
                <c:v>157.99999999999997</c:v>
              </c:pt>
              <c:pt idx="12">
                <c:v>315.99999999999977</c:v>
              </c:pt>
            </c:numLit>
          </c:val>
          <c:smooth val="1"/>
          <c:extLst>
            <c:ext xmlns:c16="http://schemas.microsoft.com/office/drawing/2014/chart" uri="{C3380CC4-5D6E-409C-BE32-E72D297353CC}">
              <c16:uniqueId val="{00000000-8DAA-4540-A059-44555DD5DCED}"/>
            </c:ext>
          </c:extLst>
        </c:ser>
        <c:dLbls>
          <c:showLegendKey val="0"/>
          <c:showVal val="0"/>
          <c:showCatName val="0"/>
          <c:showSerName val="0"/>
          <c:showPercent val="0"/>
          <c:showBubbleSize val="0"/>
        </c:dLbls>
        <c:smooth val="0"/>
        <c:axId val="396585000"/>
        <c:axId val="1"/>
      </c:lineChart>
      <c:catAx>
        <c:axId val="396585000"/>
        <c:scaling>
          <c:orientation val="minMax"/>
        </c:scaling>
        <c:delete val="0"/>
        <c:axPos val="b"/>
        <c:title>
          <c:tx>
            <c:rich>
              <a:bodyPr/>
              <a:lstStyle/>
              <a:p>
                <a:pPr>
                  <a:defRPr sz="1100" b="0" i="0" u="none" strike="noStrike" baseline="0">
                    <a:solidFill>
                      <a:srgbClr val="000000"/>
                    </a:solidFill>
                    <a:latin typeface="Times New Roman"/>
                    <a:ea typeface="Times New Roman"/>
                    <a:cs typeface="Times New Roman"/>
                  </a:defRPr>
                </a:pPr>
                <a:r>
                  <a:rPr lang="nb-NO"/>
                  <a:t>Vekst, %</a:t>
                </a:r>
              </a:p>
            </c:rich>
          </c:tx>
          <c:layout>
            <c:manualLayout>
              <c:xMode val="edge"/>
              <c:yMode val="edge"/>
              <c:x val="0.47678796304961035"/>
              <c:y val="0.91581638689153833"/>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Times New Roman"/>
                <a:ea typeface="Times New Roman"/>
                <a:cs typeface="Times New Roman"/>
              </a:defRPr>
            </a:pPr>
            <a:endParaRPr lang="nb-NO"/>
          </a:p>
        </c:txPr>
        <c:crossAx val="1"/>
        <c:crosses val="autoZero"/>
        <c:auto val="0"/>
        <c:lblAlgn val="ctr"/>
        <c:lblOffset val="100"/>
        <c:tickLblSkip val="2"/>
        <c:tickMarkSkip val="2"/>
        <c:noMultiLvlLbl val="0"/>
      </c:catAx>
      <c:valAx>
        <c:axId val="1"/>
        <c:scaling>
          <c:orientation val="minMax"/>
        </c:scaling>
        <c:delete val="0"/>
        <c:axPos val="l"/>
        <c:title>
          <c:tx>
            <c:rich>
              <a:bodyPr rot="0" vert="horz"/>
              <a:lstStyle/>
              <a:p>
                <a:pPr algn="ctr">
                  <a:defRPr sz="1100" b="0" i="0" u="none" strike="noStrike" baseline="0">
                    <a:solidFill>
                      <a:srgbClr val="000000"/>
                    </a:solidFill>
                    <a:latin typeface="Times New Roman"/>
                    <a:ea typeface="Times New Roman"/>
                    <a:cs typeface="Times New Roman"/>
                  </a:defRPr>
                </a:pPr>
                <a:r>
                  <a:rPr lang="nb-NO"/>
                  <a:t>Egenkapitalverdi</a:t>
                </a:r>
                <a:r>
                  <a:rPr lang="nb-NO" baseline="0"/>
                  <a:t> (</a:t>
                </a:r>
                <a:r>
                  <a:rPr lang="nb-NO"/>
                  <a:t>millioner kroner)</a:t>
                </a:r>
              </a:p>
            </c:rich>
          </c:tx>
          <c:layout>
            <c:manualLayout>
              <c:xMode val="edge"/>
              <c:yMode val="edge"/>
              <c:x val="0.13927235538681604"/>
              <c:y val="1.2755116795709384E-2"/>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Times New Roman"/>
                <a:ea typeface="Times New Roman"/>
                <a:cs typeface="Times New Roman"/>
              </a:defRPr>
            </a:pPr>
            <a:endParaRPr lang="nb-NO"/>
          </a:p>
        </c:txPr>
        <c:crossAx val="396585000"/>
        <c:crosses val="autoZero"/>
        <c:crossBetween val="midCat"/>
      </c:valAx>
      <c:spPr>
        <a:noFill/>
        <a:ln w="25400">
          <a:noFill/>
        </a:ln>
      </c:spPr>
    </c:plotArea>
    <c:plotVisOnly val="1"/>
    <c:dispBlanksAs val="gap"/>
    <c:showDLblsOverMax val="0"/>
  </c:chart>
  <c:spPr>
    <a:solidFill>
      <a:srgbClr val="FFFFFF"/>
    </a:solidFill>
    <a:ln w="9525">
      <a:noFill/>
    </a:ln>
  </c:spPr>
  <c:txPr>
    <a:bodyPr/>
    <a:lstStyle/>
    <a:p>
      <a:pPr>
        <a:defRPr sz="1100" b="0" i="0" u="none" strike="noStrike" baseline="0">
          <a:solidFill>
            <a:srgbClr val="000000"/>
          </a:solidFill>
          <a:latin typeface="Times New Roman"/>
          <a:ea typeface="Times New Roman"/>
          <a:cs typeface="Times New Roman"/>
        </a:defRPr>
      </a:pPr>
      <a:endParaRPr lang="nb-NO"/>
    </a:p>
  </c:txPr>
  <c:printSettings>
    <c:headerFooter alignWithMargins="0">
      <c:oddHeader>&amp;A</c:oddHeader>
      <c:oddFooter>Page &amp;P</c:oddFooter>
    </c:headerFooter>
    <c:pageMargins b="1" l="0.75" r="0.75" t="1" header="0.5" footer="0.5"/>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6007702182284984E-2"/>
          <c:y val="5.4507449119351743E-2"/>
          <c:w val="0.88575096277278564"/>
          <c:h val="0.8427690209992077"/>
        </c:manualLayout>
      </c:layout>
      <c:lineChart>
        <c:grouping val="standard"/>
        <c:varyColors val="0"/>
        <c:ser>
          <c:idx val="0"/>
          <c:order val="0"/>
          <c:spPr>
            <a:ln w="12700">
              <a:solidFill>
                <a:srgbClr val="000080"/>
              </a:solidFill>
              <a:prstDash val="solid"/>
            </a:ln>
          </c:spPr>
          <c:marker>
            <c:symbol val="none"/>
          </c:marker>
          <c:cat>
            <c:numRef>
              <c:f>Leasing_nettside!$AD$44:$AD$59</c:f>
              <c:numCache>
                <c:formatCode>#,##0</c:formatCode>
                <c:ptCount val="16"/>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numCache>
            </c:numRef>
          </c:cat>
          <c:val>
            <c:numRef>
              <c:f>Leasing_nettside!$AC$44:$AC$59</c:f>
              <c:numCache>
                <c:formatCode>#,##0</c:formatCode>
                <c:ptCount val="16"/>
                <c:pt idx="0">
                  <c:v>-12.556200000000011</c:v>
                </c:pt>
                <c:pt idx="1">
                  <c:v>-9.5139881533727166</c:v>
                </c:pt>
                <c:pt idx="2">
                  <c:v>-6.5563157492483155</c:v>
                </c:pt>
                <c:pt idx="3">
                  <c:v>-3.6800020534127542</c:v>
                </c:pt>
                <c:pt idx="4">
                  <c:v>-0.88201596358630918</c:v>
                </c:pt>
                <c:pt idx="5">
                  <c:v>1.8405323998686509</c:v>
                </c:pt>
                <c:pt idx="6">
                  <c:v>4.4903995554236467</c:v>
                </c:pt>
                <c:pt idx="7">
                  <c:v>7.0702160145303932</c:v>
                </c:pt>
                <c:pt idx="8">
                  <c:v>9.5824931655762189</c:v>
                </c:pt>
                <c:pt idx="9">
                  <c:v>12.02962972176174</c:v>
                </c:pt>
                <c:pt idx="10">
                  <c:v>14.413917764243408</c:v>
                </c:pt>
                <c:pt idx="11">
                  <c:v>16.737548409375684</c:v>
                </c:pt>
                <c:pt idx="12">
                  <c:v>19.00261712658769</c:v>
                </c:pt>
                <c:pt idx="13">
                  <c:v>21.211128731340171</c:v>
                </c:pt>
                <c:pt idx="14">
                  <c:v>23.365002075702215</c:v>
                </c:pt>
                <c:pt idx="15">
                  <c:v>25.466074457333889</c:v>
                </c:pt>
              </c:numCache>
            </c:numRef>
          </c:val>
          <c:smooth val="0"/>
          <c:extLst>
            <c:ext xmlns:c16="http://schemas.microsoft.com/office/drawing/2014/chart" uri="{C3380CC4-5D6E-409C-BE32-E72D297353CC}">
              <c16:uniqueId val="{00000000-666A-4D14-8E93-0BE3C5E9CDB7}"/>
            </c:ext>
          </c:extLst>
        </c:ser>
        <c:dLbls>
          <c:showLegendKey val="0"/>
          <c:showVal val="0"/>
          <c:showCatName val="0"/>
          <c:showSerName val="0"/>
          <c:showPercent val="0"/>
          <c:showBubbleSize val="0"/>
        </c:dLbls>
        <c:smooth val="0"/>
        <c:axId val="396585984"/>
        <c:axId val="1"/>
      </c:lineChart>
      <c:catAx>
        <c:axId val="396585984"/>
        <c:scaling>
          <c:orientation val="minMax"/>
        </c:scaling>
        <c:delete val="0"/>
        <c:axPos val="b"/>
        <c:title>
          <c:tx>
            <c:rich>
              <a:bodyPr/>
              <a:lstStyle/>
              <a:p>
                <a:pPr>
                  <a:defRPr sz="1000" b="1" i="0" u="none" strike="noStrike" baseline="0">
                    <a:solidFill>
                      <a:srgbClr val="000000"/>
                    </a:solidFill>
                    <a:latin typeface="Times New Roman"/>
                    <a:ea typeface="Times New Roman"/>
                    <a:cs typeface="Times New Roman"/>
                  </a:defRPr>
                </a:pPr>
                <a:r>
                  <a:rPr lang="nb-NO"/>
                  <a:t>Kapitalkostnad, %</a:t>
                </a:r>
              </a:p>
            </c:rich>
          </c:tx>
          <c:layout>
            <c:manualLayout>
              <c:xMode val="edge"/>
              <c:yMode val="edge"/>
              <c:x val="0.46084721072457629"/>
              <c:y val="0.92033739618164168"/>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Times New Roman"/>
                <a:ea typeface="Times New Roman"/>
                <a:cs typeface="Times New Roman"/>
              </a:defRPr>
            </a:pPr>
            <a:endParaRPr lang="nb-NO"/>
          </a:p>
        </c:txPr>
        <c:crossAx val="1"/>
        <c:crosses val="autoZero"/>
        <c:auto val="1"/>
        <c:lblAlgn val="ctr"/>
        <c:lblOffset val="100"/>
        <c:tickLblSkip val="1"/>
        <c:tickMarkSkip val="1"/>
        <c:noMultiLvlLbl val="0"/>
      </c:catAx>
      <c:valAx>
        <c:axId val="1"/>
        <c:scaling>
          <c:orientation val="minMax"/>
        </c:scaling>
        <c:delete val="0"/>
        <c:axPos val="l"/>
        <c:title>
          <c:tx>
            <c:rich>
              <a:bodyPr/>
              <a:lstStyle/>
              <a:p>
                <a:pPr>
                  <a:defRPr sz="1000" b="0" i="0" u="none" strike="noStrike" baseline="0">
                    <a:solidFill>
                      <a:srgbClr val="000000"/>
                    </a:solidFill>
                    <a:latin typeface="Times New Roman"/>
                    <a:ea typeface="Times New Roman"/>
                    <a:cs typeface="Times New Roman"/>
                  </a:defRPr>
                </a:pPr>
                <a:r>
                  <a:rPr lang="nb-NO"/>
                  <a:t>Nåverdi (tusen kr)</a:t>
                </a:r>
              </a:p>
            </c:rich>
          </c:tx>
          <c:layout>
            <c:manualLayout>
              <c:xMode val="edge"/>
              <c:yMode val="edge"/>
              <c:x val="2.0539180768663089E-2"/>
              <c:y val="0.37106978750943803"/>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Times New Roman"/>
                <a:ea typeface="Times New Roman"/>
                <a:cs typeface="Times New Roman"/>
              </a:defRPr>
            </a:pPr>
            <a:endParaRPr lang="nb-NO"/>
          </a:p>
        </c:txPr>
        <c:crossAx val="396585984"/>
        <c:crosses val="autoZero"/>
        <c:crossBetween val="midCat"/>
      </c:valAx>
      <c:spPr>
        <a:no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Times New Roman"/>
          <a:ea typeface="Times New Roman"/>
          <a:cs typeface="Times New Roman"/>
        </a:defRPr>
      </a:pPr>
      <a:endParaRPr lang="nb-NO"/>
    </a:p>
  </c:txPr>
  <c:printSettings>
    <c:headerFooter alignWithMargins="0"/>
    <c:pageMargins b="1" l="0.75" r="0.75" t="1" header="0.5" footer="0.5"/>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0241042609294741E-2"/>
          <c:y val="4.702970297029703E-2"/>
          <c:w val="0.87550315258841693"/>
          <c:h val="0.81188118811881194"/>
        </c:manualLayout>
      </c:layout>
      <c:lineChart>
        <c:grouping val="standard"/>
        <c:varyColors val="0"/>
        <c:ser>
          <c:idx val="0"/>
          <c:order val="0"/>
          <c:spPr>
            <a:ln w="12700">
              <a:solidFill>
                <a:srgbClr val="000000"/>
              </a:solidFill>
              <a:prstDash val="solid"/>
            </a:ln>
          </c:spPr>
          <c:marker>
            <c:symbol val="none"/>
          </c:marker>
          <c:cat>
            <c:numRef>
              <c:f>'Gamle 5.8'!$F$10:$F$19</c:f>
              <c:numCache>
                <c:formatCode>#,##0</c:formatCode>
                <c:ptCount val="10"/>
                <c:pt idx="1">
                  <c:v>1</c:v>
                </c:pt>
                <c:pt idx="2">
                  <c:v>2</c:v>
                </c:pt>
                <c:pt idx="3">
                  <c:v>3</c:v>
                </c:pt>
                <c:pt idx="4">
                  <c:v>4</c:v>
                </c:pt>
                <c:pt idx="5">
                  <c:v>5</c:v>
                </c:pt>
                <c:pt idx="6">
                  <c:v>6</c:v>
                </c:pt>
                <c:pt idx="7">
                  <c:v>7</c:v>
                </c:pt>
                <c:pt idx="8">
                  <c:v>8</c:v>
                </c:pt>
                <c:pt idx="9">
                  <c:v>9</c:v>
                </c:pt>
              </c:numCache>
            </c:numRef>
          </c:cat>
          <c:val>
            <c:numRef>
              <c:f>'Gamle 5.8'!$E$10:$E$19</c:f>
              <c:numCache>
                <c:formatCode>#,##0</c:formatCode>
                <c:ptCount val="10"/>
                <c:pt idx="0">
                  <c:v>-345.834</c:v>
                </c:pt>
                <c:pt idx="1">
                  <c:v>-228.37511683031863</c:v>
                </c:pt>
                <c:pt idx="2">
                  <c:v>-131.8047802000911</c:v>
                </c:pt>
                <c:pt idx="3">
                  <c:v>-52.220888375172478</c:v>
                </c:pt>
                <c:pt idx="4">
                  <c:v>13.498537799023216</c:v>
                </c:pt>
                <c:pt idx="5">
                  <c:v>67.860805884473066</c:v>
                </c:pt>
                <c:pt idx="6">
                  <c:v>112.88712101138366</c:v>
                </c:pt>
                <c:pt idx="7">
                  <c:v>150.21285421807841</c:v>
                </c:pt>
                <c:pt idx="8">
                  <c:v>181.16601801004001</c:v>
                </c:pt>
                <c:pt idx="9">
                  <c:v>206.82890215074281</c:v>
                </c:pt>
              </c:numCache>
            </c:numRef>
          </c:val>
          <c:smooth val="1"/>
          <c:extLst>
            <c:ext xmlns:c16="http://schemas.microsoft.com/office/drawing/2014/chart" uri="{C3380CC4-5D6E-409C-BE32-E72D297353CC}">
              <c16:uniqueId val="{00000000-22BA-4515-957E-7C8E2D85F0C5}"/>
            </c:ext>
          </c:extLst>
        </c:ser>
        <c:dLbls>
          <c:showLegendKey val="0"/>
          <c:showVal val="0"/>
          <c:showCatName val="0"/>
          <c:showSerName val="0"/>
          <c:showPercent val="0"/>
          <c:showBubbleSize val="0"/>
        </c:dLbls>
        <c:smooth val="0"/>
        <c:axId val="396587952"/>
        <c:axId val="1"/>
      </c:lineChart>
      <c:catAx>
        <c:axId val="396587952"/>
        <c:scaling>
          <c:orientation val="minMax"/>
        </c:scaling>
        <c:delete val="0"/>
        <c:axPos val="b"/>
        <c:title>
          <c:tx>
            <c:rich>
              <a:bodyPr/>
              <a:lstStyle/>
              <a:p>
                <a:pPr>
                  <a:defRPr sz="1100" b="0" i="0" u="none" strike="noStrike" baseline="0">
                    <a:solidFill>
                      <a:srgbClr val="000000"/>
                    </a:solidFill>
                    <a:latin typeface="Times New Roman"/>
                    <a:ea typeface="Times New Roman"/>
                    <a:cs typeface="Times New Roman"/>
                  </a:defRPr>
                </a:pPr>
                <a:r>
                  <a:rPr lang="nb-NO"/>
                  <a:t>Årlig kapitalkostnad, %</a:t>
                </a:r>
              </a:p>
            </c:rich>
          </c:tx>
          <c:layout>
            <c:manualLayout>
              <c:xMode val="edge"/>
              <c:yMode val="edge"/>
              <c:x val="0.45515441292729975"/>
              <c:y val="0.47564260349809218"/>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Times New Roman"/>
                <a:ea typeface="Times New Roman"/>
                <a:cs typeface="Times New Roman"/>
              </a:defRPr>
            </a:pPr>
            <a:endParaRPr lang="nb-NO"/>
          </a:p>
        </c:txPr>
        <c:crossAx val="1"/>
        <c:crosses val="autoZero"/>
        <c:auto val="0"/>
        <c:lblAlgn val="ctr"/>
        <c:lblOffset val="100"/>
        <c:tickLblSkip val="1"/>
        <c:tickMarkSkip val="1"/>
        <c:noMultiLvlLbl val="0"/>
      </c:catAx>
      <c:valAx>
        <c:axId val="1"/>
        <c:scaling>
          <c:orientation val="minMax"/>
        </c:scaling>
        <c:delete val="0"/>
        <c:axPos val="l"/>
        <c:title>
          <c:tx>
            <c:rich>
              <a:bodyPr rot="0" vert="horz"/>
              <a:lstStyle/>
              <a:p>
                <a:pPr algn="ctr">
                  <a:defRPr sz="1100" b="0" i="0" u="none" strike="noStrike" baseline="0">
                    <a:solidFill>
                      <a:srgbClr val="000000"/>
                    </a:solidFill>
                    <a:latin typeface="Times New Roman"/>
                    <a:ea typeface="Times New Roman"/>
                    <a:cs typeface="Times New Roman"/>
                  </a:defRPr>
                </a:pPr>
                <a:r>
                  <a:rPr lang="nb-NO"/>
                  <a:t>Nåverdi (tusen kr)</a:t>
                </a:r>
              </a:p>
            </c:rich>
          </c:tx>
          <c:layout>
            <c:manualLayout>
              <c:xMode val="edge"/>
              <c:yMode val="edge"/>
              <c:x val="9.2369571829272412E-2"/>
              <c:y val="1.2376219962795912E-2"/>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Times New Roman"/>
                <a:ea typeface="Times New Roman"/>
                <a:cs typeface="Times New Roman"/>
              </a:defRPr>
            </a:pPr>
            <a:endParaRPr lang="nb-NO"/>
          </a:p>
        </c:txPr>
        <c:crossAx val="396587952"/>
        <c:crosses val="autoZero"/>
        <c:crossBetween val="midCat"/>
      </c:valAx>
      <c:spPr>
        <a:noFill/>
        <a:ln w="25400">
          <a:noFill/>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Times New Roman"/>
          <a:ea typeface="Times New Roman"/>
          <a:cs typeface="Times New Roman"/>
        </a:defRPr>
      </a:pPr>
      <a:endParaRPr lang="nb-NO"/>
    </a:p>
  </c:txPr>
  <c:printSettings>
    <c:headerFooter alignWithMargins="0">
      <c:oddHeader>&amp;A</c:oddHeader>
      <c:oddFooter>Page &amp;P</c:oddFooter>
    </c:headerFooter>
    <c:pageMargins b="1" l="0.75" r="0.75" t="1" header="0.5" footer="0.5"/>
    <c:pageSetup paperSize="9" orientation="landscape" horizontalDpi="-4" verticalDpi="0"/>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chart" Target="../charts/chart8.xml"/></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chart" Target="../charts/chart4.xml"/></Relationships>
</file>

<file path=xl/drawings/_rels/drawing7.xml.rels><?xml version="1.0" encoding="UTF-8" standalone="yes"?>
<Relationships xmlns="http://schemas.openxmlformats.org/package/2006/relationships"><Relationship Id="rId1" Type="http://schemas.openxmlformats.org/officeDocument/2006/relationships/chart" Target="../charts/chart5.xml"/></Relationships>
</file>

<file path=xl/drawings/_rels/drawing8.xml.rels><?xml version="1.0" encoding="UTF-8" standalone="yes"?>
<Relationships xmlns="http://schemas.openxmlformats.org/package/2006/relationships"><Relationship Id="rId1" Type="http://schemas.openxmlformats.org/officeDocument/2006/relationships/chart" Target="../charts/chart6.xml"/></Relationships>
</file>

<file path=xl/drawings/_rels/drawing9.xml.rels><?xml version="1.0" encoding="UTF-8" standalone="yes"?>
<Relationships xmlns="http://schemas.openxmlformats.org/package/2006/relationships"><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editAs="oneCell">
    <xdr:from>
      <xdr:col>3</xdr:col>
      <xdr:colOff>407005</xdr:colOff>
      <xdr:row>7</xdr:row>
      <xdr:rowOff>0</xdr:rowOff>
    </xdr:from>
    <xdr:to>
      <xdr:col>7</xdr:col>
      <xdr:colOff>666750</xdr:colOff>
      <xdr:row>17</xdr:row>
      <xdr:rowOff>105903</xdr:rowOff>
    </xdr:to>
    <xdr:pic>
      <xdr:nvPicPr>
        <xdr:cNvPr id="2" name="Bilde 1">
          <a:extLst>
            <a:ext uri="{FF2B5EF4-FFF2-40B4-BE49-F238E27FC236}">
              <a16:creationId xmlns:a16="http://schemas.microsoft.com/office/drawing/2014/main" id="{7EBED0E0-6273-442A-ABF2-2D27AB0AAC5F}"/>
            </a:ext>
          </a:extLst>
        </xdr:cNvPr>
        <xdr:cNvPicPr>
          <a:picLocks noChangeAspect="1"/>
        </xdr:cNvPicPr>
      </xdr:nvPicPr>
      <xdr:blipFill>
        <a:blip xmlns:r="http://schemas.openxmlformats.org/officeDocument/2006/relationships" r:embed="rId1"/>
        <a:stretch>
          <a:fillRect/>
        </a:stretch>
      </xdr:blipFill>
      <xdr:spPr>
        <a:xfrm>
          <a:off x="3734405" y="1360270"/>
          <a:ext cx="3180745" cy="1883903"/>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4</xdr:col>
      <xdr:colOff>409575</xdr:colOff>
      <xdr:row>27</xdr:row>
      <xdr:rowOff>66675</xdr:rowOff>
    </xdr:from>
    <xdr:to>
      <xdr:col>16</xdr:col>
      <xdr:colOff>47625</xdr:colOff>
      <xdr:row>51</xdr:row>
      <xdr:rowOff>28575</xdr:rowOff>
    </xdr:to>
    <xdr:graphicFrame macro="">
      <xdr:nvGraphicFramePr>
        <xdr:cNvPr id="1110" name="Chart 1">
          <a:extLst>
            <a:ext uri="{FF2B5EF4-FFF2-40B4-BE49-F238E27FC236}">
              <a16:creationId xmlns:a16="http://schemas.microsoft.com/office/drawing/2014/main" id="{00000000-0008-0000-0E00-000056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66675</xdr:colOff>
      <xdr:row>6</xdr:row>
      <xdr:rowOff>180975</xdr:rowOff>
    </xdr:from>
    <xdr:to>
      <xdr:col>10</xdr:col>
      <xdr:colOff>266700</xdr:colOff>
      <xdr:row>26</xdr:row>
      <xdr:rowOff>152400</xdr:rowOff>
    </xdr:to>
    <xdr:graphicFrame macro="">
      <xdr:nvGraphicFramePr>
        <xdr:cNvPr id="423959" name="Chart 1">
          <a:extLst>
            <a:ext uri="{FF2B5EF4-FFF2-40B4-BE49-F238E27FC236}">
              <a16:creationId xmlns:a16="http://schemas.microsoft.com/office/drawing/2014/main" id="{00000000-0008-0000-0200-0000177806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123825</xdr:colOff>
      <xdr:row>15</xdr:row>
      <xdr:rowOff>38100</xdr:rowOff>
    </xdr:from>
    <xdr:to>
      <xdr:col>7</xdr:col>
      <xdr:colOff>495300</xdr:colOff>
      <xdr:row>36</xdr:row>
      <xdr:rowOff>0</xdr:rowOff>
    </xdr:to>
    <xdr:graphicFrame macro="">
      <xdr:nvGraphicFramePr>
        <xdr:cNvPr id="280626" name="Chart 2">
          <a:extLst>
            <a:ext uri="{FF2B5EF4-FFF2-40B4-BE49-F238E27FC236}">
              <a16:creationId xmlns:a16="http://schemas.microsoft.com/office/drawing/2014/main" id="{00000000-0008-0000-0300-0000324804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66675</xdr:colOff>
      <xdr:row>14</xdr:row>
      <xdr:rowOff>0</xdr:rowOff>
    </xdr:from>
    <xdr:to>
      <xdr:col>7</xdr:col>
      <xdr:colOff>685800</xdr:colOff>
      <xdr:row>39</xdr:row>
      <xdr:rowOff>152400</xdr:rowOff>
    </xdr:to>
    <xdr:graphicFrame macro="">
      <xdr:nvGraphicFramePr>
        <xdr:cNvPr id="281644" name="Chart 2">
          <a:extLst>
            <a:ext uri="{FF2B5EF4-FFF2-40B4-BE49-F238E27FC236}">
              <a16:creationId xmlns:a16="http://schemas.microsoft.com/office/drawing/2014/main" id="{00000000-0008-0000-0400-00002C4C04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571500</xdr:colOff>
      <xdr:row>0</xdr:row>
      <xdr:rowOff>419100</xdr:rowOff>
    </xdr:to>
    <xdr:pic>
      <xdr:nvPicPr>
        <xdr:cNvPr id="475153" name="Picture 1">
          <a:extLst>
            <a:ext uri="{FF2B5EF4-FFF2-40B4-BE49-F238E27FC236}">
              <a16:creationId xmlns:a16="http://schemas.microsoft.com/office/drawing/2014/main" id="{00000000-0008-0000-0500-0000114007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5715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23</xdr:col>
      <xdr:colOff>390525</xdr:colOff>
      <xdr:row>2</xdr:row>
      <xdr:rowOff>114300</xdr:rowOff>
    </xdr:from>
    <xdr:to>
      <xdr:col>32</xdr:col>
      <xdr:colOff>552450</xdr:colOff>
      <xdr:row>26</xdr:row>
      <xdr:rowOff>66675</xdr:rowOff>
    </xdr:to>
    <xdr:graphicFrame macro="">
      <xdr:nvGraphicFramePr>
        <xdr:cNvPr id="5263" name="Chart 1">
          <a:extLst>
            <a:ext uri="{FF2B5EF4-FFF2-40B4-BE49-F238E27FC236}">
              <a16:creationId xmlns:a16="http://schemas.microsoft.com/office/drawing/2014/main" id="{00000000-0008-0000-0600-00008F1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5</xdr:col>
      <xdr:colOff>342900</xdr:colOff>
      <xdr:row>23</xdr:row>
      <xdr:rowOff>9525</xdr:rowOff>
    </xdr:from>
    <xdr:to>
      <xdr:col>18</xdr:col>
      <xdr:colOff>219075</xdr:colOff>
      <xdr:row>51</xdr:row>
      <xdr:rowOff>19050</xdr:rowOff>
    </xdr:to>
    <xdr:graphicFrame macro="">
      <xdr:nvGraphicFramePr>
        <xdr:cNvPr id="7254" name="Chart 1">
          <a:extLst>
            <a:ext uri="{FF2B5EF4-FFF2-40B4-BE49-F238E27FC236}">
              <a16:creationId xmlns:a16="http://schemas.microsoft.com/office/drawing/2014/main" id="{00000000-0008-0000-0900-0000561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0</xdr:col>
      <xdr:colOff>133350</xdr:colOff>
      <xdr:row>19</xdr:row>
      <xdr:rowOff>47625</xdr:rowOff>
    </xdr:from>
    <xdr:to>
      <xdr:col>11</xdr:col>
      <xdr:colOff>152400</xdr:colOff>
      <xdr:row>42</xdr:row>
      <xdr:rowOff>57150</xdr:rowOff>
    </xdr:to>
    <xdr:graphicFrame macro="">
      <xdr:nvGraphicFramePr>
        <xdr:cNvPr id="216114" name="Chart 1">
          <a:extLst>
            <a:ext uri="{FF2B5EF4-FFF2-40B4-BE49-F238E27FC236}">
              <a16:creationId xmlns:a16="http://schemas.microsoft.com/office/drawing/2014/main" id="{00000000-0008-0000-0C00-0000324C03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25</xdr:col>
      <xdr:colOff>257175</xdr:colOff>
      <xdr:row>11</xdr:row>
      <xdr:rowOff>133350</xdr:rowOff>
    </xdr:from>
    <xdr:to>
      <xdr:col>39</xdr:col>
      <xdr:colOff>200025</xdr:colOff>
      <xdr:row>39</xdr:row>
      <xdr:rowOff>142875</xdr:rowOff>
    </xdr:to>
    <xdr:graphicFrame macro="">
      <xdr:nvGraphicFramePr>
        <xdr:cNvPr id="2137" name="Chart 2">
          <a:extLst>
            <a:ext uri="{FF2B5EF4-FFF2-40B4-BE49-F238E27FC236}">
              <a16:creationId xmlns:a16="http://schemas.microsoft.com/office/drawing/2014/main" id="{00000000-0008-0000-0D00-0000590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39"/>
  <sheetViews>
    <sheetView zoomScaleNormal="100" workbookViewId="0"/>
  </sheetViews>
  <sheetFormatPr baseColWidth="10" defaultColWidth="13.33203125" defaultRowHeight="14.25" outlineLevelRow="1" x14ac:dyDescent="0.2"/>
  <cols>
    <col min="1" max="1" width="25.6640625" style="54" customWidth="1"/>
    <col min="2" max="2" width="15.6640625" style="54" customWidth="1"/>
    <col min="3" max="3" width="11" style="54" customWidth="1"/>
    <col min="4" max="4" width="11.33203125" style="54" customWidth="1"/>
    <col min="5" max="6" width="11.6640625" style="54" customWidth="1"/>
    <col min="7" max="7" width="11.33203125" style="54" customWidth="1"/>
    <col min="8" max="8" width="12.1640625" style="54" customWidth="1"/>
    <col min="9" max="16384" width="13.33203125" style="54"/>
  </cols>
  <sheetData>
    <row r="1" spans="1:8" ht="15" x14ac:dyDescent="0.25">
      <c r="A1" s="1" t="s">
        <v>95</v>
      </c>
      <c r="B1" s="28">
        <v>0.06</v>
      </c>
      <c r="D1" s="1"/>
      <c r="E1" s="1"/>
      <c r="F1" s="1"/>
      <c r="G1" s="1"/>
      <c r="H1" s="1"/>
    </row>
    <row r="2" spans="1:8" ht="15" x14ac:dyDescent="0.25">
      <c r="A2" s="1" t="s">
        <v>104</v>
      </c>
      <c r="B2" s="123" t="s">
        <v>41</v>
      </c>
      <c r="C2" s="123"/>
      <c r="D2" s="123"/>
      <c r="E2" s="123"/>
      <c r="F2" s="123"/>
      <c r="G2" s="123"/>
      <c r="H2" s="123"/>
    </row>
    <row r="3" spans="1:8" ht="15" x14ac:dyDescent="0.25">
      <c r="A3" s="1"/>
      <c r="B3" s="52">
        <v>0</v>
      </c>
      <c r="C3" s="52">
        <v>1</v>
      </c>
      <c r="D3" s="52">
        <v>2</v>
      </c>
      <c r="E3" s="52">
        <v>3</v>
      </c>
      <c r="F3" s="52">
        <v>4</v>
      </c>
      <c r="G3" s="52">
        <v>5</v>
      </c>
      <c r="H3" s="52">
        <v>6</v>
      </c>
    </row>
    <row r="4" spans="1:8" ht="15" x14ac:dyDescent="0.25">
      <c r="A4" s="1" t="s">
        <v>17</v>
      </c>
      <c r="B4" s="29">
        <v>-50000</v>
      </c>
      <c r="C4" s="29">
        <v>3000</v>
      </c>
      <c r="D4" s="29">
        <v>9000</v>
      </c>
      <c r="E4" s="29">
        <v>7000</v>
      </c>
      <c r="F4" s="29">
        <v>12000</v>
      </c>
      <c r="G4" s="29">
        <v>6000</v>
      </c>
      <c r="H4" s="29">
        <v>40000</v>
      </c>
    </row>
    <row r="5" spans="1:8" ht="15" outlineLevel="1" x14ac:dyDescent="0.25">
      <c r="A5" s="55" t="s">
        <v>115</v>
      </c>
      <c r="B5" s="56">
        <f t="shared" ref="B5:H5" si="0">1/(1+$B$1)^B3</f>
        <v>1</v>
      </c>
      <c r="C5" s="56">
        <f t="shared" si="0"/>
        <v>0.94339622641509424</v>
      </c>
      <c r="D5" s="56">
        <f t="shared" si="0"/>
        <v>0.88999644001423983</v>
      </c>
      <c r="E5" s="56">
        <f t="shared" si="0"/>
        <v>0.8396192830323016</v>
      </c>
      <c r="F5" s="56">
        <f t="shared" si="0"/>
        <v>0.79209366323802044</v>
      </c>
      <c r="G5" s="56">
        <f t="shared" si="0"/>
        <v>0.74725817286605689</v>
      </c>
      <c r="H5" s="56">
        <f t="shared" si="0"/>
        <v>0.70496054043967626</v>
      </c>
    </row>
    <row r="6" spans="1:8" ht="15" outlineLevel="1" x14ac:dyDescent="0.25">
      <c r="A6" s="1" t="s">
        <v>116</v>
      </c>
      <c r="B6" s="2">
        <f>B4*B5</f>
        <v>-50000</v>
      </c>
      <c r="C6" s="2">
        <f t="shared" ref="C6:H6" si="1">C4*C5</f>
        <v>2830.1886792452829</v>
      </c>
      <c r="D6" s="2">
        <f t="shared" si="1"/>
        <v>8009.9679601281587</v>
      </c>
      <c r="E6" s="2">
        <f t="shared" si="1"/>
        <v>5877.3349812261113</v>
      </c>
      <c r="F6" s="2">
        <f t="shared" si="1"/>
        <v>9505.1239588562457</v>
      </c>
      <c r="G6" s="2">
        <f t="shared" si="1"/>
        <v>4483.5490371963415</v>
      </c>
      <c r="H6" s="2">
        <f t="shared" si="1"/>
        <v>28198.42161758705</v>
      </c>
    </row>
    <row r="7" spans="1:8" ht="15" outlineLevel="1" x14ac:dyDescent="0.25">
      <c r="A7" s="1" t="s">
        <v>130</v>
      </c>
      <c r="B7" s="2">
        <f>SUM(B6:H6)</f>
        <v>8904.586234239192</v>
      </c>
      <c r="C7" s="2"/>
      <c r="D7" s="2"/>
      <c r="E7" s="2"/>
      <c r="F7" s="2"/>
      <c r="G7" s="2"/>
      <c r="H7" s="2"/>
    </row>
    <row r="8" spans="1:8" ht="15" outlineLevel="1" x14ac:dyDescent="0.25">
      <c r="A8" s="1"/>
      <c r="C8" s="1"/>
      <c r="D8" s="1"/>
      <c r="E8" s="1"/>
      <c r="F8" s="1"/>
      <c r="G8" s="1"/>
      <c r="H8" s="1"/>
    </row>
    <row r="9" spans="1:8" ht="15" outlineLevel="1" x14ac:dyDescent="0.25">
      <c r="A9" s="1"/>
      <c r="B9" s="1"/>
      <c r="C9" s="1"/>
      <c r="D9" s="1"/>
      <c r="E9" s="1"/>
      <c r="F9" s="1"/>
      <c r="G9" s="1"/>
      <c r="H9" s="1"/>
    </row>
    <row r="10" spans="1:8" ht="15" x14ac:dyDescent="0.25">
      <c r="A10" s="1" t="s">
        <v>131</v>
      </c>
      <c r="B10" s="2">
        <f>NPV(B1,B4:H4)</f>
        <v>8400.5530511690486</v>
      </c>
      <c r="C10" s="1"/>
      <c r="D10" s="1"/>
      <c r="E10" s="1"/>
      <c r="F10" s="1"/>
      <c r="G10" s="1"/>
      <c r="H10" s="1"/>
    </row>
    <row r="11" spans="1:8" ht="15" x14ac:dyDescent="0.25">
      <c r="A11" s="1" t="s">
        <v>129</v>
      </c>
      <c r="B11" s="1"/>
      <c r="C11" s="1"/>
      <c r="D11" s="1"/>
      <c r="E11" s="1"/>
      <c r="F11" s="1"/>
      <c r="G11" s="1"/>
      <c r="H11" s="1"/>
    </row>
    <row r="12" spans="1:8" ht="15" x14ac:dyDescent="0.25">
      <c r="A12" s="1" t="s">
        <v>118</v>
      </c>
      <c r="B12" s="57">
        <f>B7-B10</f>
        <v>504.03318307014342</v>
      </c>
      <c r="C12" s="1"/>
      <c r="D12" s="1"/>
      <c r="E12" s="1"/>
      <c r="F12" s="1"/>
      <c r="G12" s="1"/>
      <c r="H12" s="1"/>
    </row>
    <row r="13" spans="1:8" ht="15" x14ac:dyDescent="0.25">
      <c r="A13" s="1" t="s">
        <v>119</v>
      </c>
      <c r="B13" s="58">
        <f>B12/B10</f>
        <v>6.000000000000006E-2</v>
      </c>
      <c r="C13" s="1"/>
      <c r="D13" s="1"/>
      <c r="E13" s="1"/>
      <c r="F13" s="1"/>
      <c r="G13" s="1"/>
      <c r="H13" s="1"/>
    </row>
    <row r="14" spans="1:8" ht="15" x14ac:dyDescent="0.25">
      <c r="A14" s="1" t="s">
        <v>120</v>
      </c>
      <c r="B14" s="2">
        <f>NPV(B1,B4:H4)*(1+B1)</f>
        <v>8904.586234239192</v>
      </c>
      <c r="C14" s="1"/>
      <c r="D14" s="1"/>
      <c r="E14" s="1"/>
      <c r="F14" s="1"/>
      <c r="G14" s="1"/>
      <c r="H14" s="1"/>
    </row>
    <row r="15" spans="1:8" ht="15" x14ac:dyDescent="0.25">
      <c r="A15" s="1" t="s">
        <v>121</v>
      </c>
      <c r="B15" s="2">
        <f>B4+NPV(B1,C4:H4)</f>
        <v>8904.586234239192</v>
      </c>
      <c r="C15" s="1"/>
      <c r="D15" s="1"/>
      <c r="E15" s="1"/>
      <c r="F15" s="1"/>
      <c r="G15" s="1"/>
      <c r="H15" s="1"/>
    </row>
    <row r="17" spans="6:10" x14ac:dyDescent="0.2">
      <c r="F17" s="59"/>
    </row>
    <row r="25" spans="6:10" ht="15" x14ac:dyDescent="0.25">
      <c r="J25" s="9"/>
    </row>
    <row r="39" spans="6:6" ht="15" x14ac:dyDescent="0.25">
      <c r="F39" s="9"/>
    </row>
  </sheetData>
  <mergeCells count="1">
    <mergeCell ref="B2:H2"/>
  </mergeCells>
  <printOptions headings="1" gridLines="1"/>
  <pageMargins left="0.75" right="0.75" top="1" bottom="1" header="0.5" footer="0.5"/>
  <pageSetup paperSize="9" orientation="portrait" r:id="rId1"/>
  <headerFooter alignWithMargins="0"/>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3:N77"/>
  <sheetViews>
    <sheetView topLeftCell="A4" workbookViewId="0">
      <selection activeCell="N10" sqref="N10"/>
    </sheetView>
  </sheetViews>
  <sheetFormatPr baseColWidth="10" defaultColWidth="8.83203125" defaultRowHeight="15" x14ac:dyDescent="0.25"/>
  <cols>
    <col min="1" max="1" width="8.83203125" style="1" customWidth="1"/>
    <col min="2" max="2" width="11.83203125" style="1" bestFit="1" customWidth="1"/>
    <col min="3" max="3" width="14.6640625" style="1" customWidth="1"/>
    <col min="4" max="4" width="13.33203125" style="1" customWidth="1"/>
    <col min="5" max="5" width="16.5" style="1" customWidth="1"/>
    <col min="6" max="6" width="14.6640625" style="1" customWidth="1"/>
    <col min="7" max="7" width="14.5" style="1" customWidth="1"/>
    <col min="8" max="8" width="8.83203125" style="1"/>
    <col min="9" max="9" width="9" style="1" bestFit="1" customWidth="1"/>
    <col min="10" max="13" width="8.83203125" style="1"/>
    <col min="14" max="14" width="9" style="1" bestFit="1" customWidth="1"/>
    <col min="15" max="16384" width="8.83203125" style="1"/>
  </cols>
  <sheetData>
    <row r="3" spans="1:11" x14ac:dyDescent="0.25">
      <c r="B3" s="4" t="s">
        <v>45</v>
      </c>
      <c r="C3" s="4" t="s">
        <v>17</v>
      </c>
      <c r="D3" s="4" t="s">
        <v>53</v>
      </c>
      <c r="F3" s="1">
        <v>-972600</v>
      </c>
    </row>
    <row r="4" spans="1:11" x14ac:dyDescent="0.25">
      <c r="B4" s="97">
        <v>42297</v>
      </c>
      <c r="C4" s="1">
        <v>-977600</v>
      </c>
      <c r="D4" s="1">
        <v>0</v>
      </c>
    </row>
    <row r="5" spans="1:11" x14ac:dyDescent="0.25">
      <c r="B5" s="97">
        <v>42541</v>
      </c>
      <c r="C5" s="1">
        <v>58750</v>
      </c>
      <c r="D5" s="1">
        <v>8</v>
      </c>
    </row>
    <row r="6" spans="1:11" x14ac:dyDescent="0.25">
      <c r="B6" s="97">
        <v>42906</v>
      </c>
      <c r="C6" s="1">
        <v>58750</v>
      </c>
      <c r="D6" s="1">
        <v>20</v>
      </c>
    </row>
    <row r="7" spans="1:11" x14ac:dyDescent="0.25">
      <c r="B7" s="97">
        <v>43271</v>
      </c>
      <c r="C7" s="1">
        <v>58750</v>
      </c>
      <c r="D7" s="1">
        <v>32</v>
      </c>
    </row>
    <row r="8" spans="1:11" x14ac:dyDescent="0.25">
      <c r="B8" s="97">
        <v>43636</v>
      </c>
      <c r="C8" s="1">
        <v>58750</v>
      </c>
      <c r="D8" s="1">
        <v>44</v>
      </c>
    </row>
    <row r="9" spans="1:11" x14ac:dyDescent="0.25">
      <c r="B9" s="98">
        <v>44002</v>
      </c>
      <c r="C9" s="4">
        <v>1058750</v>
      </c>
      <c r="D9" s="4">
        <v>56</v>
      </c>
    </row>
    <row r="10" spans="1:11" x14ac:dyDescent="0.25">
      <c r="E10" s="1" t="s">
        <v>47</v>
      </c>
      <c r="F10" s="1" t="s">
        <v>47</v>
      </c>
      <c r="G10" s="1" t="s">
        <v>49</v>
      </c>
    </row>
    <row r="11" spans="1:11" x14ac:dyDescent="0.25">
      <c r="E11" s="1" t="s">
        <v>46</v>
      </c>
      <c r="F11" s="1" t="s">
        <v>48</v>
      </c>
      <c r="G11" s="1" t="s">
        <v>52</v>
      </c>
    </row>
    <row r="12" spans="1:11" x14ac:dyDescent="0.25">
      <c r="A12" s="1">
        <v>0</v>
      </c>
      <c r="B12" s="85">
        <f>C4</f>
        <v>-977600</v>
      </c>
      <c r="C12" s="1">
        <v>0</v>
      </c>
      <c r="E12" s="1">
        <v>0</v>
      </c>
      <c r="F12" s="1">
        <f>((1+(E12/100))^(1/12))-1</f>
        <v>0</v>
      </c>
      <c r="G12" s="2">
        <f t="shared" ref="G12:G22" si="0">($B$12+NPV(F12,$B$13:$B$71))/1000</f>
        <v>316.14999999999998</v>
      </c>
    </row>
    <row r="13" spans="1:11" x14ac:dyDescent="0.25">
      <c r="A13" s="1">
        <v>1</v>
      </c>
      <c r="B13" s="85">
        <v>0</v>
      </c>
      <c r="C13" s="1">
        <v>1</v>
      </c>
      <c r="E13" s="1">
        <v>1</v>
      </c>
      <c r="F13" s="1">
        <f t="shared" ref="F13:F22" si="1">((1+(E13/100))^(1/12))-1</f>
        <v>8.295381143461622E-4</v>
      </c>
      <c r="G13" s="2">
        <f t="shared" si="0"/>
        <v>263.11312460223587</v>
      </c>
      <c r="I13" s="1">
        <v>1</v>
      </c>
    </row>
    <row r="14" spans="1:11" x14ac:dyDescent="0.25">
      <c r="A14" s="1">
        <v>2</v>
      </c>
      <c r="B14" s="85">
        <v>0</v>
      </c>
      <c r="C14" s="1">
        <v>2</v>
      </c>
      <c r="E14" s="1">
        <v>2</v>
      </c>
      <c r="F14" s="1">
        <f t="shared" si="1"/>
        <v>1.6515813019202241E-3</v>
      </c>
      <c r="G14" s="2">
        <f t="shared" si="0"/>
        <v>212.87888060689042</v>
      </c>
      <c r="I14" s="1">
        <v>2</v>
      </c>
      <c r="K14" s="1" t="s">
        <v>0</v>
      </c>
    </row>
    <row r="15" spans="1:11" x14ac:dyDescent="0.25">
      <c r="A15" s="1">
        <v>3</v>
      </c>
      <c r="B15" s="85">
        <v>0</v>
      </c>
      <c r="C15" s="1">
        <v>3</v>
      </c>
      <c r="E15" s="1">
        <v>3</v>
      </c>
      <c r="F15" s="1">
        <f t="shared" si="1"/>
        <v>2.4662697723036864E-3</v>
      </c>
      <c r="G15" s="2">
        <f t="shared" si="0"/>
        <v>165.27192998972674</v>
      </c>
      <c r="I15" s="1">
        <v>3</v>
      </c>
    </row>
    <row r="16" spans="1:11" x14ac:dyDescent="0.25">
      <c r="A16" s="1">
        <v>4</v>
      </c>
      <c r="B16" s="85">
        <v>0</v>
      </c>
      <c r="C16" s="1">
        <v>4</v>
      </c>
      <c r="E16" s="1">
        <v>4</v>
      </c>
      <c r="F16" s="1">
        <f t="shared" si="1"/>
        <v>3.2737397821989145E-3</v>
      </c>
      <c r="G16" s="2">
        <f t="shared" si="0"/>
        <v>120.12950992278289</v>
      </c>
      <c r="I16" s="1">
        <v>4</v>
      </c>
    </row>
    <row r="17" spans="1:14" x14ac:dyDescent="0.25">
      <c r="A17" s="1">
        <v>5</v>
      </c>
      <c r="B17" s="85">
        <v>0</v>
      </c>
      <c r="C17" s="1">
        <v>5</v>
      </c>
      <c r="E17" s="1">
        <v>5</v>
      </c>
      <c r="F17" s="1">
        <f t="shared" si="1"/>
        <v>4.0741237836483535E-3</v>
      </c>
      <c r="G17" s="2">
        <f t="shared" si="0"/>
        <v>77.300419570611325</v>
      </c>
      <c r="I17" s="1">
        <v>5</v>
      </c>
    </row>
    <row r="18" spans="1:14" x14ac:dyDescent="0.25">
      <c r="A18" s="1">
        <v>6</v>
      </c>
      <c r="B18" s="85">
        <v>0</v>
      </c>
      <c r="C18" s="1">
        <v>6</v>
      </c>
      <c r="E18" s="1">
        <v>6</v>
      </c>
      <c r="F18" s="1">
        <f t="shared" si="1"/>
        <v>4.8675505653430484E-3</v>
      </c>
      <c r="G18" s="2">
        <f t="shared" si="0"/>
        <v>36.644097261628133</v>
      </c>
      <c r="I18" s="1">
        <v>6</v>
      </c>
    </row>
    <row r="19" spans="1:14" x14ac:dyDescent="0.25">
      <c r="A19" s="1">
        <v>7</v>
      </c>
      <c r="B19" s="85">
        <v>0</v>
      </c>
      <c r="C19" s="1">
        <v>7</v>
      </c>
      <c r="E19" s="1">
        <v>7</v>
      </c>
      <c r="F19" s="1">
        <f t="shared" si="1"/>
        <v>5.6541453874052738E-3</v>
      </c>
      <c r="G19" s="61">
        <f t="shared" si="0"/>
        <v>-1.9702207889460259</v>
      </c>
      <c r="I19" s="1">
        <v>7</v>
      </c>
      <c r="N19" s="2">
        <f>(I19+NPV(M19,I20:I85))/1000</f>
        <v>3.4000000000000002E-2</v>
      </c>
    </row>
    <row r="20" spans="1:14" x14ac:dyDescent="0.25">
      <c r="A20" s="1">
        <v>8</v>
      </c>
      <c r="B20" s="85">
        <f>C5</f>
        <v>58750</v>
      </c>
      <c r="C20" s="1">
        <v>8</v>
      </c>
      <c r="E20" s="1">
        <v>8</v>
      </c>
      <c r="F20" s="1">
        <f t="shared" si="1"/>
        <v>6.4340301100034303E-3</v>
      </c>
      <c r="G20" s="2">
        <f t="shared" si="0"/>
        <v>-38.664268093571884</v>
      </c>
      <c r="I20" s="1">
        <v>8</v>
      </c>
    </row>
    <row r="21" spans="1:14" x14ac:dyDescent="0.25">
      <c r="A21" s="1">
        <v>9</v>
      </c>
      <c r="B21" s="85">
        <v>0</v>
      </c>
      <c r="C21" s="1">
        <v>9</v>
      </c>
      <c r="E21" s="1">
        <v>9</v>
      </c>
      <c r="F21" s="1">
        <f t="shared" si="1"/>
        <v>7.2073233161367156E-3</v>
      </c>
      <c r="G21" s="2">
        <f t="shared" si="0"/>
        <v>-73.551448905643312</v>
      </c>
      <c r="I21" s="1">
        <v>9</v>
      </c>
    </row>
    <row r="22" spans="1:14" x14ac:dyDescent="0.25">
      <c r="A22" s="1">
        <v>10</v>
      </c>
      <c r="B22" s="85">
        <v>0</v>
      </c>
      <c r="C22" s="1">
        <v>10</v>
      </c>
      <c r="E22" s="1">
        <v>10</v>
      </c>
      <c r="F22" s="1">
        <f t="shared" si="1"/>
        <v>7.9741404289037643E-3</v>
      </c>
      <c r="G22" s="2">
        <f t="shared" si="0"/>
        <v>-106.73747895844537</v>
      </c>
      <c r="I22" s="1">
        <v>10</v>
      </c>
    </row>
    <row r="23" spans="1:14" x14ac:dyDescent="0.25">
      <c r="A23" s="1">
        <v>11</v>
      </c>
      <c r="B23" s="85">
        <v>0</v>
      </c>
      <c r="C23" s="1">
        <v>11</v>
      </c>
    </row>
    <row r="24" spans="1:14" x14ac:dyDescent="0.25">
      <c r="A24" s="1">
        <v>12</v>
      </c>
      <c r="B24" s="85">
        <v>0</v>
      </c>
      <c r="C24" s="1">
        <v>12</v>
      </c>
      <c r="D24" s="1" t="s">
        <v>50</v>
      </c>
      <c r="E24" s="55">
        <f>IRR(B12:B68)</f>
        <v>5.6131882975600789E-3</v>
      </c>
    </row>
    <row r="25" spans="1:14" x14ac:dyDescent="0.25">
      <c r="A25" s="1">
        <v>13</v>
      </c>
      <c r="B25" s="85">
        <v>0</v>
      </c>
      <c r="C25" s="1">
        <v>13</v>
      </c>
      <c r="D25" s="1" t="s">
        <v>51</v>
      </c>
      <c r="E25" s="1">
        <f>((1+E24)^12)-1</f>
        <v>6.9477184821247207E-2</v>
      </c>
    </row>
    <row r="26" spans="1:14" x14ac:dyDescent="0.25">
      <c r="A26" s="1">
        <v>14</v>
      </c>
      <c r="B26" s="85">
        <v>0</v>
      </c>
      <c r="C26" s="1">
        <v>14</v>
      </c>
      <c r="M26" s="1" t="s">
        <v>0</v>
      </c>
    </row>
    <row r="27" spans="1:14" x14ac:dyDescent="0.25">
      <c r="A27" s="1">
        <v>15</v>
      </c>
      <c r="B27" s="85">
        <v>0</v>
      </c>
      <c r="C27" s="1">
        <v>15</v>
      </c>
    </row>
    <row r="28" spans="1:14" x14ac:dyDescent="0.25">
      <c r="A28" s="1">
        <v>16</v>
      </c>
      <c r="B28" s="85">
        <v>0</v>
      </c>
      <c r="C28" s="1">
        <v>16</v>
      </c>
      <c r="F28" s="1" t="s">
        <v>0</v>
      </c>
    </row>
    <row r="29" spans="1:14" x14ac:dyDescent="0.25">
      <c r="A29" s="1">
        <v>17</v>
      </c>
      <c r="B29" s="85">
        <v>0</v>
      </c>
      <c r="C29" s="1">
        <v>17</v>
      </c>
    </row>
    <row r="30" spans="1:14" x14ac:dyDescent="0.25">
      <c r="A30" s="1">
        <v>18</v>
      </c>
      <c r="B30" s="85">
        <v>0</v>
      </c>
      <c r="C30" s="1">
        <v>18</v>
      </c>
      <c r="F30" s="1" t="s">
        <v>0</v>
      </c>
    </row>
    <row r="31" spans="1:14" x14ac:dyDescent="0.25">
      <c r="A31" s="1">
        <v>19</v>
      </c>
      <c r="B31" s="85">
        <v>0</v>
      </c>
      <c r="C31" s="1">
        <v>19</v>
      </c>
    </row>
    <row r="32" spans="1:14" x14ac:dyDescent="0.25">
      <c r="A32" s="1">
        <v>20</v>
      </c>
      <c r="B32" s="85">
        <f>C6</f>
        <v>58750</v>
      </c>
      <c r="C32" s="1">
        <v>20</v>
      </c>
    </row>
    <row r="33" spans="1:5" x14ac:dyDescent="0.25">
      <c r="A33" s="1">
        <v>21</v>
      </c>
      <c r="B33" s="85">
        <v>0</v>
      </c>
      <c r="C33" s="1">
        <v>21</v>
      </c>
    </row>
    <row r="34" spans="1:5" x14ac:dyDescent="0.25">
      <c r="A34" s="1">
        <v>22</v>
      </c>
      <c r="B34" s="85">
        <v>0</v>
      </c>
      <c r="C34" s="1">
        <v>22</v>
      </c>
    </row>
    <row r="35" spans="1:5" x14ac:dyDescent="0.25">
      <c r="A35" s="1">
        <v>23</v>
      </c>
      <c r="B35" s="85">
        <v>0</v>
      </c>
      <c r="C35" s="1">
        <v>23</v>
      </c>
    </row>
    <row r="36" spans="1:5" x14ac:dyDescent="0.25">
      <c r="A36" s="1">
        <v>24</v>
      </c>
      <c r="B36" s="85">
        <v>0</v>
      </c>
      <c r="C36" s="1">
        <v>24</v>
      </c>
      <c r="E36" s="1" t="s">
        <v>0</v>
      </c>
    </row>
    <row r="37" spans="1:5" x14ac:dyDescent="0.25">
      <c r="A37" s="1">
        <v>25</v>
      </c>
      <c r="B37" s="85">
        <v>0</v>
      </c>
      <c r="C37" s="1">
        <v>25</v>
      </c>
    </row>
    <row r="38" spans="1:5" x14ac:dyDescent="0.25">
      <c r="A38" s="1">
        <v>26</v>
      </c>
      <c r="B38" s="85">
        <v>0</v>
      </c>
      <c r="C38" s="1">
        <v>26</v>
      </c>
    </row>
    <row r="39" spans="1:5" x14ac:dyDescent="0.25">
      <c r="A39" s="1">
        <v>27</v>
      </c>
      <c r="B39" s="85">
        <v>0</v>
      </c>
      <c r="C39" s="1">
        <v>27</v>
      </c>
    </row>
    <row r="40" spans="1:5" x14ac:dyDescent="0.25">
      <c r="A40" s="1">
        <v>28</v>
      </c>
      <c r="B40" s="85">
        <v>0</v>
      </c>
      <c r="C40" s="1">
        <v>28</v>
      </c>
      <c r="E40" s="1" t="s">
        <v>0</v>
      </c>
    </row>
    <row r="41" spans="1:5" x14ac:dyDescent="0.25">
      <c r="A41" s="1">
        <v>29</v>
      </c>
      <c r="B41" s="85">
        <v>0</v>
      </c>
      <c r="C41" s="1">
        <v>29</v>
      </c>
    </row>
    <row r="42" spans="1:5" x14ac:dyDescent="0.25">
      <c r="A42" s="1">
        <v>30</v>
      </c>
      <c r="B42" s="85">
        <v>0</v>
      </c>
      <c r="C42" s="1">
        <v>30</v>
      </c>
    </row>
    <row r="43" spans="1:5" x14ac:dyDescent="0.25">
      <c r="A43" s="1">
        <v>31</v>
      </c>
      <c r="B43" s="85">
        <v>0</v>
      </c>
      <c r="C43" s="1">
        <v>31</v>
      </c>
    </row>
    <row r="44" spans="1:5" x14ac:dyDescent="0.25">
      <c r="A44" s="1">
        <v>32</v>
      </c>
      <c r="B44" s="85">
        <f>C7</f>
        <v>58750</v>
      </c>
      <c r="C44" s="1">
        <v>32</v>
      </c>
    </row>
    <row r="45" spans="1:5" x14ac:dyDescent="0.25">
      <c r="A45" s="1">
        <v>33</v>
      </c>
      <c r="B45" s="85">
        <v>0</v>
      </c>
      <c r="C45" s="1">
        <v>33</v>
      </c>
    </row>
    <row r="46" spans="1:5" x14ac:dyDescent="0.25">
      <c r="A46" s="1">
        <v>34</v>
      </c>
      <c r="B46" s="85">
        <v>0</v>
      </c>
      <c r="C46" s="1">
        <v>34</v>
      </c>
    </row>
    <row r="47" spans="1:5" x14ac:dyDescent="0.25">
      <c r="A47" s="1">
        <v>35</v>
      </c>
      <c r="B47" s="85">
        <v>0</v>
      </c>
      <c r="C47" s="1">
        <v>35</v>
      </c>
    </row>
    <row r="48" spans="1:5" x14ac:dyDescent="0.25">
      <c r="A48" s="1">
        <v>36</v>
      </c>
      <c r="B48" s="85">
        <v>0</v>
      </c>
      <c r="C48" s="1">
        <v>36</v>
      </c>
    </row>
    <row r="49" spans="1:11" x14ac:dyDescent="0.25">
      <c r="A49" s="1">
        <v>37</v>
      </c>
      <c r="B49" s="85">
        <v>0</v>
      </c>
      <c r="C49" s="1">
        <v>37</v>
      </c>
    </row>
    <row r="50" spans="1:11" x14ac:dyDescent="0.25">
      <c r="A50" s="1">
        <v>38</v>
      </c>
      <c r="B50" s="85">
        <v>0</v>
      </c>
      <c r="C50" s="1">
        <v>38</v>
      </c>
    </row>
    <row r="51" spans="1:11" x14ac:dyDescent="0.25">
      <c r="A51" s="1">
        <v>39</v>
      </c>
      <c r="B51" s="85">
        <v>0</v>
      </c>
      <c r="C51" s="1">
        <v>39</v>
      </c>
      <c r="K51" s="1" t="s">
        <v>0</v>
      </c>
    </row>
    <row r="52" spans="1:11" x14ac:dyDescent="0.25">
      <c r="A52" s="1">
        <v>40</v>
      </c>
      <c r="B52" s="85">
        <v>0</v>
      </c>
      <c r="C52" s="1">
        <v>40</v>
      </c>
    </row>
    <row r="53" spans="1:11" x14ac:dyDescent="0.25">
      <c r="A53" s="1">
        <v>41</v>
      </c>
      <c r="B53" s="85">
        <v>0</v>
      </c>
      <c r="C53" s="1">
        <v>41</v>
      </c>
    </row>
    <row r="54" spans="1:11" x14ac:dyDescent="0.25">
      <c r="A54" s="1">
        <v>42</v>
      </c>
      <c r="B54" s="85">
        <v>0</v>
      </c>
      <c r="C54" s="1">
        <v>42</v>
      </c>
    </row>
    <row r="55" spans="1:11" x14ac:dyDescent="0.25">
      <c r="A55" s="1">
        <v>43</v>
      </c>
      <c r="B55" s="85">
        <v>0</v>
      </c>
      <c r="C55" s="1">
        <v>43</v>
      </c>
    </row>
    <row r="56" spans="1:11" x14ac:dyDescent="0.25">
      <c r="A56" s="1">
        <v>44</v>
      </c>
      <c r="B56" s="85">
        <f>C8</f>
        <v>58750</v>
      </c>
      <c r="C56" s="1">
        <v>44</v>
      </c>
    </row>
    <row r="57" spans="1:11" x14ac:dyDescent="0.25">
      <c r="A57" s="1">
        <v>45</v>
      </c>
      <c r="B57" s="85">
        <v>0</v>
      </c>
      <c r="C57" s="1">
        <v>45</v>
      </c>
    </row>
    <row r="58" spans="1:11" x14ac:dyDescent="0.25">
      <c r="A58" s="1">
        <v>46</v>
      </c>
      <c r="B58" s="85">
        <v>0</v>
      </c>
      <c r="C58" s="1">
        <v>46</v>
      </c>
    </row>
    <row r="59" spans="1:11" x14ac:dyDescent="0.25">
      <c r="A59" s="1">
        <v>47</v>
      </c>
      <c r="B59" s="85">
        <v>0</v>
      </c>
      <c r="C59" s="1">
        <v>47</v>
      </c>
    </row>
    <row r="60" spans="1:11" x14ac:dyDescent="0.25">
      <c r="A60" s="1">
        <v>48</v>
      </c>
      <c r="B60" s="85">
        <v>0</v>
      </c>
      <c r="C60" s="1">
        <v>48</v>
      </c>
    </row>
    <row r="61" spans="1:11" x14ac:dyDescent="0.25">
      <c r="A61" s="1">
        <v>49</v>
      </c>
      <c r="B61" s="85">
        <v>0</v>
      </c>
      <c r="C61" s="1">
        <v>49</v>
      </c>
    </row>
    <row r="62" spans="1:11" x14ac:dyDescent="0.25">
      <c r="A62" s="1">
        <v>50</v>
      </c>
      <c r="B62" s="85">
        <v>0</v>
      </c>
      <c r="C62" s="1">
        <v>50</v>
      </c>
    </row>
    <row r="63" spans="1:11" x14ac:dyDescent="0.25">
      <c r="A63" s="1">
        <v>51</v>
      </c>
      <c r="B63" s="85">
        <v>0</v>
      </c>
      <c r="C63" s="1">
        <v>51</v>
      </c>
    </row>
    <row r="64" spans="1:11" x14ac:dyDescent="0.25">
      <c r="A64" s="1">
        <v>52</v>
      </c>
      <c r="B64" s="85">
        <v>0</v>
      </c>
      <c r="C64" s="1">
        <v>52</v>
      </c>
    </row>
    <row r="65" spans="1:3" x14ac:dyDescent="0.25">
      <c r="A65" s="1">
        <v>53</v>
      </c>
      <c r="B65" s="85">
        <v>0</v>
      </c>
      <c r="C65" s="1">
        <v>53</v>
      </c>
    </row>
    <row r="66" spans="1:3" x14ac:dyDescent="0.25">
      <c r="A66" s="1">
        <v>54</v>
      </c>
      <c r="B66" s="85">
        <v>0</v>
      </c>
      <c r="C66" s="1">
        <v>54</v>
      </c>
    </row>
    <row r="67" spans="1:3" x14ac:dyDescent="0.25">
      <c r="A67" s="1">
        <v>55</v>
      </c>
      <c r="B67" s="85">
        <v>0</v>
      </c>
      <c r="C67" s="1">
        <v>55</v>
      </c>
    </row>
    <row r="68" spans="1:3" x14ac:dyDescent="0.25">
      <c r="A68" s="4">
        <v>56</v>
      </c>
      <c r="B68" s="99">
        <f>C9</f>
        <v>1058750</v>
      </c>
      <c r="C68" s="4">
        <v>56</v>
      </c>
    </row>
    <row r="75" spans="1:3" x14ac:dyDescent="0.25">
      <c r="B75" s="85"/>
    </row>
    <row r="76" spans="1:3" x14ac:dyDescent="0.25">
      <c r="B76" s="85"/>
    </row>
    <row r="77" spans="1:3" x14ac:dyDescent="0.25">
      <c r="B77" s="85"/>
    </row>
  </sheetData>
  <phoneticPr fontId="2" type="noConversion"/>
  <pageMargins left="0.75" right="0.75" top="1" bottom="1" header="0.5" footer="0.5"/>
  <pageSetup paperSize="9"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2:I36"/>
  <sheetViews>
    <sheetView workbookViewId="0">
      <selection sqref="A1:XFD1048576"/>
    </sheetView>
  </sheetViews>
  <sheetFormatPr baseColWidth="10" defaultColWidth="8.83203125" defaultRowHeight="15" x14ac:dyDescent="0.25"/>
  <cols>
    <col min="1" max="1" width="16.33203125" style="1" customWidth="1"/>
    <col min="2" max="2" width="12.33203125" style="1" customWidth="1"/>
    <col min="3" max="7" width="9.6640625" style="1" bestFit="1" customWidth="1"/>
    <col min="8" max="8" width="11.5" style="1" bestFit="1" customWidth="1"/>
    <col min="9" max="9" width="12.6640625" style="1" customWidth="1"/>
    <col min="10" max="16384" width="8.83203125" style="1"/>
  </cols>
  <sheetData>
    <row r="2" spans="1:8" x14ac:dyDescent="0.25">
      <c r="A2" s="1" t="s">
        <v>85</v>
      </c>
      <c r="B2" s="6">
        <v>3000000</v>
      </c>
    </row>
    <row r="3" spans="1:8" x14ac:dyDescent="0.25">
      <c r="A3" s="1" t="s">
        <v>86</v>
      </c>
      <c r="B3" s="3">
        <v>7</v>
      </c>
    </row>
    <row r="4" spans="1:8" x14ac:dyDescent="0.25">
      <c r="A4" s="1" t="s">
        <v>87</v>
      </c>
      <c r="B4" s="3">
        <v>0.05</v>
      </c>
    </row>
    <row r="5" spans="1:8" x14ac:dyDescent="0.25">
      <c r="A5" s="1" t="s">
        <v>77</v>
      </c>
      <c r="B5" s="3">
        <v>0.03</v>
      </c>
    </row>
    <row r="10" spans="1:8" x14ac:dyDescent="0.25">
      <c r="A10" s="3" t="s">
        <v>63</v>
      </c>
    </row>
    <row r="11" spans="1:8" x14ac:dyDescent="0.25">
      <c r="B11" s="123" t="s">
        <v>41</v>
      </c>
      <c r="C11" s="123"/>
      <c r="D11" s="123"/>
      <c r="E11" s="123"/>
      <c r="F11" s="123"/>
      <c r="G11" s="123"/>
      <c r="H11" s="123"/>
    </row>
    <row r="12" spans="1:8" x14ac:dyDescent="0.25">
      <c r="A12" s="4"/>
      <c r="B12" s="4">
        <v>1</v>
      </c>
      <c r="C12" s="4">
        <v>2</v>
      </c>
      <c r="D12" s="4">
        <v>3</v>
      </c>
      <c r="E12" s="4">
        <v>4</v>
      </c>
      <c r="F12" s="4">
        <v>5</v>
      </c>
      <c r="G12" s="4">
        <v>6</v>
      </c>
      <c r="H12" s="4">
        <v>7</v>
      </c>
    </row>
    <row r="13" spans="1:8" x14ac:dyDescent="0.25">
      <c r="A13" s="1" t="s">
        <v>65</v>
      </c>
      <c r="B13" s="2">
        <f>-$B$2*$B$4</f>
        <v>-150000</v>
      </c>
      <c r="C13" s="2">
        <f t="shared" ref="C13:H13" si="0">-$B$2*$B$4</f>
        <v>-150000</v>
      </c>
      <c r="D13" s="2">
        <f t="shared" si="0"/>
        <v>-150000</v>
      </c>
      <c r="E13" s="2">
        <f t="shared" si="0"/>
        <v>-150000</v>
      </c>
      <c r="F13" s="2">
        <f t="shared" si="0"/>
        <v>-150000</v>
      </c>
      <c r="G13" s="2">
        <f t="shared" si="0"/>
        <v>-150000</v>
      </c>
      <c r="H13" s="2">
        <f t="shared" si="0"/>
        <v>-150000</v>
      </c>
    </row>
    <row r="14" spans="1:8" x14ac:dyDescent="0.25">
      <c r="A14" s="4" t="s">
        <v>6</v>
      </c>
      <c r="B14" s="5">
        <v>0</v>
      </c>
      <c r="C14" s="5">
        <v>0</v>
      </c>
      <c r="D14" s="5">
        <v>0</v>
      </c>
      <c r="E14" s="5">
        <v>0</v>
      </c>
      <c r="F14" s="5">
        <v>0</v>
      </c>
      <c r="G14" s="5">
        <v>0</v>
      </c>
      <c r="H14" s="5">
        <f>-B2</f>
        <v>-3000000</v>
      </c>
    </row>
    <row r="15" spans="1:8" ht="15.75" thickBot="1" x14ac:dyDescent="0.3">
      <c r="A15" s="100" t="s">
        <v>17</v>
      </c>
      <c r="B15" s="101">
        <f>SUM(B13:B14)</f>
        <v>-150000</v>
      </c>
      <c r="C15" s="101">
        <f t="shared" ref="C15:H15" si="1">SUM(C13:C14)</f>
        <v>-150000</v>
      </c>
      <c r="D15" s="101">
        <f t="shared" si="1"/>
        <v>-150000</v>
      </c>
      <c r="E15" s="101">
        <f t="shared" si="1"/>
        <v>-150000</v>
      </c>
      <c r="F15" s="101">
        <f t="shared" si="1"/>
        <v>-150000</v>
      </c>
      <c r="G15" s="101">
        <f t="shared" si="1"/>
        <v>-150000</v>
      </c>
      <c r="H15" s="101">
        <f t="shared" si="1"/>
        <v>-3150000</v>
      </c>
    </row>
    <row r="16" spans="1:8" ht="15.75" thickTop="1" x14ac:dyDescent="0.25">
      <c r="A16" s="102"/>
      <c r="B16" s="103"/>
      <c r="C16" s="103"/>
      <c r="D16" s="103"/>
      <c r="E16" s="103"/>
      <c r="F16" s="103"/>
      <c r="G16" s="103"/>
      <c r="H16" s="103"/>
    </row>
    <row r="17" spans="1:9" x14ac:dyDescent="0.25">
      <c r="A17" s="3" t="s">
        <v>30</v>
      </c>
      <c r="B17" s="103"/>
      <c r="C17" s="103"/>
      <c r="D17" s="103"/>
      <c r="E17" s="103"/>
      <c r="F17" s="103"/>
      <c r="G17" s="103"/>
      <c r="H17" s="103"/>
    </row>
    <row r="18" spans="1:9" x14ac:dyDescent="0.25">
      <c r="B18" s="123" t="s">
        <v>41</v>
      </c>
      <c r="C18" s="123"/>
      <c r="D18" s="123"/>
      <c r="E18" s="123"/>
      <c r="F18" s="123"/>
      <c r="G18" s="123"/>
      <c r="H18" s="123"/>
      <c r="I18" s="123"/>
    </row>
    <row r="19" spans="1:9" x14ac:dyDescent="0.25">
      <c r="B19" s="4">
        <v>0</v>
      </c>
      <c r="C19" s="4">
        <v>1</v>
      </c>
      <c r="D19" s="4">
        <v>2</v>
      </c>
      <c r="E19" s="4">
        <v>3</v>
      </c>
      <c r="F19" s="4">
        <v>4</v>
      </c>
      <c r="G19" s="4">
        <v>5</v>
      </c>
      <c r="H19" s="4">
        <v>6</v>
      </c>
      <c r="I19" s="4">
        <v>7</v>
      </c>
    </row>
    <row r="20" spans="1:9" ht="15.75" thickBot="1" x14ac:dyDescent="0.3">
      <c r="A20" s="100" t="str">
        <f>A15</f>
        <v>Kontantstrøm</v>
      </c>
      <c r="B20" s="100">
        <v>0</v>
      </c>
      <c r="C20" s="101">
        <f t="shared" ref="C20:I20" si="2">B15</f>
        <v>-150000</v>
      </c>
      <c r="D20" s="101">
        <f t="shared" si="2"/>
        <v>-150000</v>
      </c>
      <c r="E20" s="101">
        <f t="shared" si="2"/>
        <v>-150000</v>
      </c>
      <c r="F20" s="101">
        <f t="shared" si="2"/>
        <v>-150000</v>
      </c>
      <c r="G20" s="101">
        <f t="shared" si="2"/>
        <v>-150000</v>
      </c>
      <c r="H20" s="101">
        <f t="shared" si="2"/>
        <v>-150000</v>
      </c>
      <c r="I20" s="101">
        <f t="shared" si="2"/>
        <v>-3150000</v>
      </c>
    </row>
    <row r="21" spans="1:9" ht="15.75" thickTop="1" x14ac:dyDescent="0.25"/>
    <row r="22" spans="1:9" x14ac:dyDescent="0.25">
      <c r="A22" s="1" t="s">
        <v>114</v>
      </c>
      <c r="B22" s="2">
        <f>-NPV(B5,B15:H15)</f>
        <v>3373816.9773132917</v>
      </c>
    </row>
    <row r="23" spans="1:9" x14ac:dyDescent="0.25">
      <c r="A23" s="4" t="s">
        <v>88</v>
      </c>
      <c r="B23" s="5">
        <f>B2</f>
        <v>3000000</v>
      </c>
    </row>
    <row r="24" spans="1:9" ht="15.75" thickBot="1" x14ac:dyDescent="0.3">
      <c r="A24" s="100" t="s">
        <v>112</v>
      </c>
      <c r="B24" s="101">
        <f>B22-B23</f>
        <v>373816.97731329175</v>
      </c>
    </row>
    <row r="25" spans="1:9" ht="15.75" thickTop="1" x14ac:dyDescent="0.25"/>
    <row r="26" spans="1:9" x14ac:dyDescent="0.25">
      <c r="F26" s="1" t="s">
        <v>0</v>
      </c>
    </row>
    <row r="33" spans="6:9" x14ac:dyDescent="0.25">
      <c r="I33" s="1" t="s">
        <v>0</v>
      </c>
    </row>
    <row r="36" spans="6:9" x14ac:dyDescent="0.25">
      <c r="F36" s="1" t="s">
        <v>0</v>
      </c>
    </row>
  </sheetData>
  <mergeCells count="2">
    <mergeCell ref="B11:H11"/>
    <mergeCell ref="B18:I18"/>
  </mergeCells>
  <pageMargins left="0.7" right="0.7" top="0.75" bottom="0.75" header="0.3" footer="0.3"/>
  <pageSetup paperSize="9" orientation="portrait"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C4:J36"/>
  <sheetViews>
    <sheetView workbookViewId="0">
      <selection sqref="A1:XFD1048576"/>
    </sheetView>
  </sheetViews>
  <sheetFormatPr baseColWidth="10" defaultColWidth="8.83203125" defaultRowHeight="15" x14ac:dyDescent="0.25"/>
  <cols>
    <col min="1" max="2" width="8.83203125" style="1" customWidth="1"/>
    <col min="3" max="3" width="10.1640625" style="1" customWidth="1"/>
    <col min="4" max="5" width="12" style="1" customWidth="1"/>
    <col min="6" max="6" width="21.5" style="1" customWidth="1"/>
    <col min="7" max="16384" width="8.83203125" style="1"/>
  </cols>
  <sheetData>
    <row r="4" spans="3:10" x14ac:dyDescent="0.25">
      <c r="F4" s="95"/>
    </row>
    <row r="5" spans="3:10" x14ac:dyDescent="0.25">
      <c r="C5" s="1" t="s">
        <v>101</v>
      </c>
      <c r="D5" s="23"/>
      <c r="E5" s="23"/>
      <c r="F5" s="23"/>
    </row>
    <row r="6" spans="3:10" x14ac:dyDescent="0.25">
      <c r="D6" s="23"/>
      <c r="E6" s="23"/>
      <c r="F6" s="23"/>
    </row>
    <row r="7" spans="3:10" x14ac:dyDescent="0.25">
      <c r="C7" s="4" t="s">
        <v>89</v>
      </c>
      <c r="D7" s="80" t="s">
        <v>90</v>
      </c>
      <c r="E7" s="80" t="s">
        <v>91</v>
      </c>
    </row>
    <row r="8" spans="3:10" x14ac:dyDescent="0.25">
      <c r="C8" s="104">
        <v>1</v>
      </c>
      <c r="D8" s="105">
        <v>15.6</v>
      </c>
      <c r="E8" s="106">
        <v>255</v>
      </c>
    </row>
    <row r="9" spans="3:10" x14ac:dyDescent="0.25">
      <c r="C9" s="104">
        <v>2</v>
      </c>
      <c r="D9" s="105">
        <v>2.25</v>
      </c>
      <c r="E9" s="106">
        <v>61.75</v>
      </c>
    </row>
    <row r="10" spans="3:10" x14ac:dyDescent="0.25">
      <c r="C10" s="104">
        <v>3</v>
      </c>
      <c r="D10" s="105">
        <v>7.5</v>
      </c>
      <c r="E10" s="106">
        <v>83.75</v>
      </c>
    </row>
    <row r="11" spans="3:10" x14ac:dyDescent="0.25">
      <c r="C11" s="104">
        <v>4</v>
      </c>
      <c r="D11" s="105">
        <v>1</v>
      </c>
      <c r="E11" s="106">
        <v>44.5</v>
      </c>
    </row>
    <row r="12" spans="3:10" x14ac:dyDescent="0.25">
      <c r="C12" s="104">
        <v>5</v>
      </c>
      <c r="D12" s="105">
        <v>0.45</v>
      </c>
      <c r="E12" s="106">
        <v>36.700000000000003</v>
      </c>
    </row>
    <row r="13" spans="3:10" ht="15.75" thickBot="1" x14ac:dyDescent="0.3">
      <c r="C13" s="107">
        <v>6</v>
      </c>
      <c r="D13" s="108">
        <v>5.5</v>
      </c>
      <c r="E13" s="109">
        <v>183.5</v>
      </c>
    </row>
    <row r="14" spans="3:10" ht="15.75" thickTop="1" x14ac:dyDescent="0.25">
      <c r="J14" s="1" t="s">
        <v>0</v>
      </c>
    </row>
    <row r="16" spans="3:10" x14ac:dyDescent="0.25">
      <c r="C16" s="1" t="s">
        <v>103</v>
      </c>
    </row>
    <row r="18" spans="3:10" x14ac:dyDescent="0.25">
      <c r="C18" s="4" t="s">
        <v>89</v>
      </c>
      <c r="D18" s="80" t="s">
        <v>90</v>
      </c>
      <c r="E18" s="80" t="s">
        <v>91</v>
      </c>
      <c r="F18" s="80" t="s">
        <v>113</v>
      </c>
    </row>
    <row r="19" spans="3:10" x14ac:dyDescent="0.25">
      <c r="C19" s="64">
        <v>1</v>
      </c>
      <c r="D19" s="105">
        <v>15.6</v>
      </c>
      <c r="E19" s="106">
        <v>255</v>
      </c>
      <c r="F19" s="110">
        <f t="shared" ref="F19:F24" si="0">D19/E19</f>
        <v>6.117647058823529E-2</v>
      </c>
    </row>
    <row r="20" spans="3:10" x14ac:dyDescent="0.25">
      <c r="C20" s="64">
        <v>2</v>
      </c>
      <c r="D20" s="105">
        <v>2.25</v>
      </c>
      <c r="E20" s="106">
        <v>61.75</v>
      </c>
      <c r="F20" s="110">
        <f t="shared" si="0"/>
        <v>3.643724696356275E-2</v>
      </c>
    </row>
    <row r="21" spans="3:10" x14ac:dyDescent="0.25">
      <c r="C21" s="64">
        <v>3</v>
      </c>
      <c r="D21" s="105">
        <v>7.5</v>
      </c>
      <c r="E21" s="106">
        <v>83.75</v>
      </c>
      <c r="F21" s="110">
        <f t="shared" si="0"/>
        <v>8.9552238805970144E-2</v>
      </c>
    </row>
    <row r="22" spans="3:10" x14ac:dyDescent="0.25">
      <c r="C22" s="64">
        <v>4</v>
      </c>
      <c r="D22" s="105">
        <v>1</v>
      </c>
      <c r="E22" s="106">
        <v>44.5</v>
      </c>
      <c r="F22" s="110">
        <f t="shared" si="0"/>
        <v>2.247191011235955E-2</v>
      </c>
    </row>
    <row r="23" spans="3:10" x14ac:dyDescent="0.25">
      <c r="C23" s="64">
        <v>5</v>
      </c>
      <c r="D23" s="105">
        <v>0.45</v>
      </c>
      <c r="E23" s="106">
        <v>36.700000000000003</v>
      </c>
      <c r="F23" s="110">
        <f t="shared" si="0"/>
        <v>1.2261580381471389E-2</v>
      </c>
    </row>
    <row r="24" spans="3:10" ht="15.75" thickBot="1" x14ac:dyDescent="0.3">
      <c r="C24" s="111">
        <v>6</v>
      </c>
      <c r="D24" s="108">
        <v>5.5</v>
      </c>
      <c r="E24" s="109">
        <v>183.5</v>
      </c>
      <c r="F24" s="112">
        <f t="shared" si="0"/>
        <v>2.9972752043596729E-2</v>
      </c>
    </row>
    <row r="25" spans="3:10" ht="15.75" thickTop="1" x14ac:dyDescent="0.25">
      <c r="F25" s="55"/>
    </row>
    <row r="26" spans="3:10" x14ac:dyDescent="0.25">
      <c r="J26" s="55">
        <f>AVERAGE(F19:F24)</f>
        <v>4.1978699815865973E-2</v>
      </c>
    </row>
    <row r="27" spans="3:10" x14ac:dyDescent="0.25">
      <c r="C27" s="1" t="s">
        <v>102</v>
      </c>
    </row>
    <row r="32" spans="3:10" x14ac:dyDescent="0.25">
      <c r="J32" s="1" t="s">
        <v>0</v>
      </c>
    </row>
    <row r="36" spans="9:9" x14ac:dyDescent="0.25">
      <c r="I36" s="1" t="s">
        <v>0</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U18"/>
  <sheetViews>
    <sheetView topLeftCell="A7" workbookViewId="0">
      <selection activeCell="Q19" sqref="Q19"/>
    </sheetView>
  </sheetViews>
  <sheetFormatPr baseColWidth="10" defaultColWidth="8.83203125" defaultRowHeight="15" x14ac:dyDescent="0.25"/>
  <cols>
    <col min="1" max="1" width="17.6640625" style="1" customWidth="1"/>
    <col min="2" max="2" width="14.5" style="1" customWidth="1"/>
    <col min="3" max="3" width="14.83203125" style="1" customWidth="1"/>
    <col min="4" max="16384" width="8.83203125" style="1"/>
  </cols>
  <sheetData>
    <row r="1" spans="1:21" x14ac:dyDescent="0.25">
      <c r="A1" s="66"/>
    </row>
    <row r="2" spans="1:21" x14ac:dyDescent="0.25">
      <c r="A2" s="1" t="s">
        <v>92</v>
      </c>
      <c r="B2" s="3">
        <v>3.16</v>
      </c>
    </row>
    <row r="3" spans="1:21" x14ac:dyDescent="0.25">
      <c r="A3" s="1" t="s">
        <v>93</v>
      </c>
      <c r="B3" s="3">
        <v>0.13</v>
      </c>
    </row>
    <row r="4" spans="1:21" x14ac:dyDescent="0.25">
      <c r="A4" s="113"/>
    </row>
    <row r="5" spans="1:21" s="66" customFormat="1" ht="16.5" x14ac:dyDescent="0.3">
      <c r="A5" s="114" t="s">
        <v>94</v>
      </c>
      <c r="B5" s="114" t="s">
        <v>133</v>
      </c>
    </row>
    <row r="6" spans="1:21" x14ac:dyDescent="0.25">
      <c r="B6" s="115">
        <f>$B$2*((1/($B$3-(C6/100))))</f>
        <v>24.307692307692307</v>
      </c>
      <c r="C6" s="95">
        <v>0</v>
      </c>
      <c r="U6" s="1" t="s">
        <v>0</v>
      </c>
    </row>
    <row r="7" spans="1:21" x14ac:dyDescent="0.25">
      <c r="A7" s="95">
        <v>1</v>
      </c>
      <c r="B7" s="115">
        <f t="shared" ref="B7:B18" si="0">$B$2*((1/($B$3-(A7/100))))</f>
        <v>26.333333333333332</v>
      </c>
    </row>
    <row r="8" spans="1:21" x14ac:dyDescent="0.25">
      <c r="A8" s="95">
        <v>2</v>
      </c>
      <c r="B8" s="115">
        <f t="shared" si="0"/>
        <v>28.72727272727273</v>
      </c>
    </row>
    <row r="9" spans="1:21" x14ac:dyDescent="0.25">
      <c r="A9" s="95">
        <v>3</v>
      </c>
      <c r="B9" s="115">
        <f t="shared" si="0"/>
        <v>31.6</v>
      </c>
    </row>
    <row r="10" spans="1:21" x14ac:dyDescent="0.25">
      <c r="A10" s="95">
        <v>4</v>
      </c>
      <c r="B10" s="115">
        <f t="shared" si="0"/>
        <v>35.111111111111114</v>
      </c>
    </row>
    <row r="11" spans="1:21" x14ac:dyDescent="0.25">
      <c r="A11" s="95">
        <v>5</v>
      </c>
      <c r="B11" s="115">
        <f t="shared" si="0"/>
        <v>39.5</v>
      </c>
    </row>
    <row r="12" spans="1:21" x14ac:dyDescent="0.25">
      <c r="A12" s="95">
        <v>6</v>
      </c>
      <c r="B12" s="115">
        <f t="shared" si="0"/>
        <v>45.142857142857139</v>
      </c>
    </row>
    <row r="13" spans="1:21" x14ac:dyDescent="0.25">
      <c r="A13" s="95">
        <v>7</v>
      </c>
      <c r="B13" s="115">
        <f t="shared" si="0"/>
        <v>52.666666666666671</v>
      </c>
    </row>
    <row r="14" spans="1:21" x14ac:dyDescent="0.25">
      <c r="A14" s="95">
        <v>8</v>
      </c>
      <c r="B14" s="115">
        <f t="shared" si="0"/>
        <v>63.2</v>
      </c>
    </row>
    <row r="15" spans="1:21" x14ac:dyDescent="0.25">
      <c r="A15" s="95">
        <v>9</v>
      </c>
      <c r="B15" s="115">
        <f t="shared" si="0"/>
        <v>78.999999999999986</v>
      </c>
    </row>
    <row r="16" spans="1:21" x14ac:dyDescent="0.25">
      <c r="A16" s="95">
        <v>10</v>
      </c>
      <c r="B16" s="115">
        <f t="shared" si="0"/>
        <v>105.33333333333334</v>
      </c>
      <c r="C16" s="1" t="s">
        <v>0</v>
      </c>
    </row>
    <row r="17" spans="1:2" x14ac:dyDescent="0.25">
      <c r="A17" s="95">
        <v>11</v>
      </c>
      <c r="B17" s="115">
        <f t="shared" si="0"/>
        <v>157.99999999999997</v>
      </c>
    </row>
    <row r="18" spans="1:2" x14ac:dyDescent="0.25">
      <c r="A18" s="95">
        <v>12</v>
      </c>
      <c r="B18" s="115">
        <f t="shared" si="0"/>
        <v>315.99999999999977</v>
      </c>
    </row>
  </sheetData>
  <pageMargins left="0.7" right="0.7" top="0.75" bottom="0.75" header="0.3" footer="0.3"/>
  <pageSetup paperSize="9" orientation="portrait" verticalDpi="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N68"/>
  <sheetViews>
    <sheetView workbookViewId="0">
      <selection activeCell="AL7" sqref="AL7"/>
    </sheetView>
  </sheetViews>
  <sheetFormatPr baseColWidth="10" defaultColWidth="8.83203125" defaultRowHeight="15" x14ac:dyDescent="0.25"/>
  <cols>
    <col min="1" max="1" width="18.1640625" style="1" customWidth="1"/>
    <col min="2" max="2" width="9.33203125" style="2" customWidth="1"/>
    <col min="3" max="3" width="9.5" style="2" customWidth="1"/>
    <col min="4" max="13" width="0" style="2" hidden="1" customWidth="1"/>
    <col min="14" max="15" width="9.33203125" style="2" customWidth="1"/>
    <col min="16" max="24" width="0" style="2" hidden="1" customWidth="1"/>
    <col min="25" max="26" width="9.33203125" style="2" customWidth="1"/>
    <col min="27" max="27" width="9" style="1" bestFit="1" customWidth="1"/>
    <col min="28" max="28" width="9.6640625" style="1" bestFit="1" customWidth="1"/>
    <col min="29" max="30" width="9" style="1" bestFit="1" customWidth="1"/>
    <col min="31" max="32" width="8.83203125" style="1"/>
    <col min="33" max="33" width="9" style="1" bestFit="1" customWidth="1"/>
    <col min="34" max="35" width="8.83203125" style="1"/>
    <col min="36" max="36" width="9" style="1" bestFit="1" customWidth="1"/>
    <col min="37" max="16384" width="8.83203125" style="1"/>
  </cols>
  <sheetData>
    <row r="1" spans="1:36" x14ac:dyDescent="0.25">
      <c r="B1" s="126" t="s">
        <v>44</v>
      </c>
      <c r="C1" s="126"/>
      <c r="D1" s="126"/>
      <c r="E1" s="126"/>
      <c r="F1" s="126"/>
      <c r="G1" s="126"/>
      <c r="H1" s="126"/>
      <c r="I1" s="126"/>
      <c r="J1" s="126"/>
      <c r="K1" s="126"/>
      <c r="L1" s="126"/>
      <c r="M1" s="126"/>
      <c r="N1" s="126"/>
      <c r="O1" s="126"/>
      <c r="P1" s="126"/>
      <c r="Q1" s="126"/>
      <c r="R1" s="126"/>
      <c r="S1" s="126"/>
      <c r="T1" s="126"/>
      <c r="U1" s="126"/>
      <c r="V1" s="126"/>
      <c r="W1" s="126"/>
      <c r="X1" s="126"/>
      <c r="Y1" s="126"/>
      <c r="Z1" s="126"/>
    </row>
    <row r="2" spans="1:36" x14ac:dyDescent="0.25">
      <c r="A2" s="4"/>
      <c r="B2" s="5">
        <v>0</v>
      </c>
      <c r="C2" s="5">
        <v>1</v>
      </c>
      <c r="D2" s="5">
        <v>2</v>
      </c>
      <c r="E2" s="5">
        <v>3</v>
      </c>
      <c r="F2" s="5">
        <v>4</v>
      </c>
      <c r="G2" s="5">
        <v>5</v>
      </c>
      <c r="H2" s="5">
        <v>6</v>
      </c>
      <c r="I2" s="5">
        <v>7</v>
      </c>
      <c r="J2" s="5">
        <v>8</v>
      </c>
      <c r="K2" s="5">
        <v>9</v>
      </c>
      <c r="L2" s="5">
        <v>10</v>
      </c>
      <c r="M2" s="5">
        <v>11</v>
      </c>
      <c r="N2" s="5">
        <v>12</v>
      </c>
      <c r="O2" s="5">
        <v>13</v>
      </c>
      <c r="P2" s="5">
        <v>14</v>
      </c>
      <c r="Q2" s="5">
        <v>15</v>
      </c>
      <c r="R2" s="5">
        <v>16</v>
      </c>
      <c r="S2" s="5">
        <v>17</v>
      </c>
      <c r="T2" s="5">
        <v>18</v>
      </c>
      <c r="U2" s="5">
        <v>19</v>
      </c>
      <c r="V2" s="5">
        <v>20</v>
      </c>
      <c r="W2" s="5">
        <v>21</v>
      </c>
      <c r="X2" s="5">
        <v>22</v>
      </c>
      <c r="Y2" s="5">
        <v>23</v>
      </c>
      <c r="Z2" s="5">
        <v>24</v>
      </c>
    </row>
    <row r="3" spans="1:36" x14ac:dyDescent="0.25">
      <c r="A3" s="1" t="s">
        <v>4</v>
      </c>
      <c r="B3" s="2">
        <v>176000</v>
      </c>
    </row>
    <row r="4" spans="1:36" ht="15.75" thickBot="1" x14ac:dyDescent="0.3">
      <c r="A4" s="1" t="s">
        <v>31</v>
      </c>
      <c r="C4" s="2">
        <f>AB4</f>
        <v>2226.5</v>
      </c>
      <c r="D4" s="2">
        <f>C4</f>
        <v>2226.5</v>
      </c>
      <c r="E4" s="2">
        <f t="shared" ref="E4:Z4" si="0">D4</f>
        <v>2226.5</v>
      </c>
      <c r="F4" s="2">
        <f t="shared" si="0"/>
        <v>2226.5</v>
      </c>
      <c r="G4" s="2">
        <f t="shared" si="0"/>
        <v>2226.5</v>
      </c>
      <c r="H4" s="2">
        <f t="shared" si="0"/>
        <v>2226.5</v>
      </c>
      <c r="I4" s="2">
        <f t="shared" si="0"/>
        <v>2226.5</v>
      </c>
      <c r="J4" s="2">
        <f t="shared" si="0"/>
        <v>2226.5</v>
      </c>
      <c r="K4" s="2">
        <f t="shared" si="0"/>
        <v>2226.5</v>
      </c>
      <c r="L4" s="2">
        <f t="shared" si="0"/>
        <v>2226.5</v>
      </c>
      <c r="M4" s="2">
        <f t="shared" si="0"/>
        <v>2226.5</v>
      </c>
      <c r="N4" s="2">
        <f t="shared" si="0"/>
        <v>2226.5</v>
      </c>
      <c r="O4" s="2">
        <f t="shared" si="0"/>
        <v>2226.5</v>
      </c>
      <c r="P4" s="2">
        <f t="shared" si="0"/>
        <v>2226.5</v>
      </c>
      <c r="Q4" s="2">
        <f t="shared" si="0"/>
        <v>2226.5</v>
      </c>
      <c r="R4" s="2">
        <f t="shared" si="0"/>
        <v>2226.5</v>
      </c>
      <c r="S4" s="2">
        <f t="shared" si="0"/>
        <v>2226.5</v>
      </c>
      <c r="T4" s="2">
        <f t="shared" si="0"/>
        <v>2226.5</v>
      </c>
      <c r="U4" s="2">
        <f t="shared" si="0"/>
        <v>2226.5</v>
      </c>
      <c r="V4" s="2">
        <f t="shared" si="0"/>
        <v>2226.5</v>
      </c>
      <c r="W4" s="2">
        <f t="shared" si="0"/>
        <v>2226.5</v>
      </c>
      <c r="X4" s="2">
        <f t="shared" si="0"/>
        <v>2226.5</v>
      </c>
      <c r="Y4" s="2">
        <f t="shared" si="0"/>
        <v>2226.5</v>
      </c>
      <c r="Z4" s="2">
        <f t="shared" si="0"/>
        <v>2226.5</v>
      </c>
      <c r="AB4" s="2">
        <f>(2196/0.72)*0.73</f>
        <v>2226.5</v>
      </c>
      <c r="AH4" s="116"/>
    </row>
    <row r="5" spans="1:36" ht="15.75" thickTop="1" x14ac:dyDescent="0.25">
      <c r="A5" s="1" t="s">
        <v>32</v>
      </c>
    </row>
    <row r="6" spans="1:36" x14ac:dyDescent="0.25">
      <c r="A6" s="1" t="s">
        <v>33</v>
      </c>
      <c r="C6" s="2">
        <f>(35200*0.27)/12</f>
        <v>792</v>
      </c>
      <c r="D6" s="2">
        <f>C6</f>
        <v>792</v>
      </c>
      <c r="E6" s="2">
        <f t="shared" ref="E6:N6" si="1">D6</f>
        <v>792</v>
      </c>
      <c r="F6" s="2">
        <f t="shared" si="1"/>
        <v>792</v>
      </c>
      <c r="G6" s="2">
        <f t="shared" si="1"/>
        <v>792</v>
      </c>
      <c r="H6" s="2">
        <f t="shared" si="1"/>
        <v>792</v>
      </c>
      <c r="I6" s="2">
        <f t="shared" si="1"/>
        <v>792</v>
      </c>
      <c r="J6" s="2">
        <f t="shared" si="1"/>
        <v>792</v>
      </c>
      <c r="K6" s="2">
        <f t="shared" si="1"/>
        <v>792</v>
      </c>
      <c r="L6" s="2">
        <f t="shared" si="1"/>
        <v>792</v>
      </c>
      <c r="M6" s="2">
        <f t="shared" si="1"/>
        <v>792</v>
      </c>
      <c r="N6" s="2">
        <f t="shared" si="1"/>
        <v>792</v>
      </c>
      <c r="O6" s="2">
        <f>(28160*0.27)/12</f>
        <v>633.6</v>
      </c>
      <c r="P6" s="2">
        <f>O6</f>
        <v>633.6</v>
      </c>
      <c r="Q6" s="2">
        <f t="shared" ref="Q6:Z6" si="2">P6</f>
        <v>633.6</v>
      </c>
      <c r="R6" s="2">
        <f t="shared" si="2"/>
        <v>633.6</v>
      </c>
      <c r="S6" s="2">
        <f t="shared" si="2"/>
        <v>633.6</v>
      </c>
      <c r="T6" s="2">
        <f t="shared" si="2"/>
        <v>633.6</v>
      </c>
      <c r="U6" s="2">
        <f t="shared" si="2"/>
        <v>633.6</v>
      </c>
      <c r="V6" s="2">
        <f t="shared" si="2"/>
        <v>633.6</v>
      </c>
      <c r="W6" s="2">
        <f t="shared" si="2"/>
        <v>633.6</v>
      </c>
      <c r="X6" s="2">
        <f t="shared" si="2"/>
        <v>633.6</v>
      </c>
      <c r="Y6" s="2">
        <f t="shared" si="2"/>
        <v>633.6</v>
      </c>
      <c r="Z6" s="2">
        <f t="shared" si="2"/>
        <v>633.6</v>
      </c>
    </row>
    <row r="7" spans="1:36" x14ac:dyDescent="0.25">
      <c r="A7" s="1" t="s">
        <v>34</v>
      </c>
      <c r="AJ7" s="1">
        <v>120000</v>
      </c>
    </row>
    <row r="8" spans="1:36" x14ac:dyDescent="0.25">
      <c r="A8" s="4" t="s">
        <v>7</v>
      </c>
      <c r="B8" s="5"/>
      <c r="C8" s="5"/>
      <c r="D8" s="5"/>
      <c r="E8" s="5"/>
      <c r="F8" s="5"/>
      <c r="G8" s="5"/>
      <c r="H8" s="5"/>
      <c r="I8" s="5"/>
      <c r="J8" s="5"/>
      <c r="K8" s="5"/>
      <c r="L8" s="5"/>
      <c r="M8" s="5"/>
      <c r="N8" s="5"/>
      <c r="O8" s="5"/>
      <c r="P8" s="5"/>
      <c r="Q8" s="5"/>
      <c r="R8" s="5"/>
      <c r="S8" s="5"/>
      <c r="T8" s="5"/>
      <c r="U8" s="5"/>
      <c r="V8" s="5"/>
      <c r="W8" s="5"/>
      <c r="X8" s="5"/>
      <c r="Y8" s="5"/>
      <c r="Z8" s="5">
        <v>118013</v>
      </c>
      <c r="AB8" s="2">
        <f>-(125299/0.72)*0.73</f>
        <v>-127039.26388888889</v>
      </c>
      <c r="AJ8" s="1">
        <f>0.27*7360</f>
        <v>1987.2</v>
      </c>
    </row>
    <row r="9" spans="1:36" x14ac:dyDescent="0.25">
      <c r="A9" s="1" t="s">
        <v>35</v>
      </c>
      <c r="AJ9" s="1">
        <f>AJ7-AJ8</f>
        <v>118012.8</v>
      </c>
    </row>
    <row r="10" spans="1:36" ht="15.75" thickBot="1" x14ac:dyDescent="0.3">
      <c r="A10" s="82" t="s">
        <v>36</v>
      </c>
      <c r="B10" s="116">
        <f>SUM(B3:B9)</f>
        <v>176000</v>
      </c>
      <c r="C10" s="116">
        <f>-SUM(C3:C9)</f>
        <v>-3018.5</v>
      </c>
      <c r="D10" s="116">
        <f t="shared" ref="D10:Z10" si="3">-SUM(D3:D9)</f>
        <v>-3018.5</v>
      </c>
      <c r="E10" s="116">
        <f t="shared" si="3"/>
        <v>-3018.5</v>
      </c>
      <c r="F10" s="116">
        <f t="shared" si="3"/>
        <v>-3018.5</v>
      </c>
      <c r="G10" s="116">
        <f t="shared" si="3"/>
        <v>-3018.5</v>
      </c>
      <c r="H10" s="116">
        <f t="shared" si="3"/>
        <v>-3018.5</v>
      </c>
      <c r="I10" s="116">
        <f t="shared" si="3"/>
        <v>-3018.5</v>
      </c>
      <c r="J10" s="116">
        <f t="shared" si="3"/>
        <v>-3018.5</v>
      </c>
      <c r="K10" s="116">
        <f t="shared" si="3"/>
        <v>-3018.5</v>
      </c>
      <c r="L10" s="116">
        <f t="shared" si="3"/>
        <v>-3018.5</v>
      </c>
      <c r="M10" s="116">
        <f t="shared" si="3"/>
        <v>-3018.5</v>
      </c>
      <c r="N10" s="116">
        <f t="shared" si="3"/>
        <v>-3018.5</v>
      </c>
      <c r="O10" s="116">
        <f t="shared" si="3"/>
        <v>-2860.1</v>
      </c>
      <c r="P10" s="116">
        <f t="shared" si="3"/>
        <v>-2860.1</v>
      </c>
      <c r="Q10" s="116">
        <f t="shared" si="3"/>
        <v>-2860.1</v>
      </c>
      <c r="R10" s="116">
        <f t="shared" si="3"/>
        <v>-2860.1</v>
      </c>
      <c r="S10" s="116">
        <f t="shared" si="3"/>
        <v>-2860.1</v>
      </c>
      <c r="T10" s="116">
        <f t="shared" si="3"/>
        <v>-2860.1</v>
      </c>
      <c r="U10" s="116">
        <f t="shared" si="3"/>
        <v>-2860.1</v>
      </c>
      <c r="V10" s="116">
        <f t="shared" si="3"/>
        <v>-2860.1</v>
      </c>
      <c r="W10" s="116">
        <f t="shared" si="3"/>
        <v>-2860.1</v>
      </c>
      <c r="X10" s="116">
        <f t="shared" si="3"/>
        <v>-2860.1</v>
      </c>
      <c r="Y10" s="116">
        <f t="shared" si="3"/>
        <v>-2860.1</v>
      </c>
      <c r="Z10" s="116">
        <f t="shared" si="3"/>
        <v>-120873.1</v>
      </c>
      <c r="AB10" s="1" t="s">
        <v>0</v>
      </c>
      <c r="AD10" s="1" t="s">
        <v>0</v>
      </c>
    </row>
    <row r="11" spans="1:36" ht="9" customHeight="1" thickTop="1" x14ac:dyDescent="0.25"/>
    <row r="18" spans="13:22" x14ac:dyDescent="0.25">
      <c r="M18" s="2" t="s">
        <v>0</v>
      </c>
    </row>
    <row r="25" spans="13:22" x14ac:dyDescent="0.25">
      <c r="V25" s="2" t="s">
        <v>0</v>
      </c>
    </row>
    <row r="26" spans="13:22" x14ac:dyDescent="0.25">
      <c r="V26" s="2" t="s">
        <v>0</v>
      </c>
    </row>
    <row r="42" spans="27:30" x14ac:dyDescent="0.25">
      <c r="AA42" s="2" t="s">
        <v>37</v>
      </c>
      <c r="AB42" s="2" t="s">
        <v>16</v>
      </c>
      <c r="AC42" s="2" t="s">
        <v>42</v>
      </c>
      <c r="AD42" s="2"/>
    </row>
    <row r="43" spans="27:30" x14ac:dyDescent="0.25">
      <c r="AA43" s="2" t="s">
        <v>38</v>
      </c>
      <c r="AB43" s="2" t="s">
        <v>39</v>
      </c>
      <c r="AC43" s="2" t="s">
        <v>43</v>
      </c>
      <c r="AD43" s="2"/>
    </row>
    <row r="44" spans="27:30" x14ac:dyDescent="0.25">
      <c r="AA44" s="61">
        <v>0</v>
      </c>
      <c r="AB44" s="74">
        <f>((1+AA44)^(1/12))-1</f>
        <v>0</v>
      </c>
      <c r="AC44" s="2">
        <f t="shared" ref="AC44:AC59" si="4">($B$10+NPV($AB44,$C$10:$Z$10))/1000</f>
        <v>-12.556200000000011</v>
      </c>
      <c r="AD44" s="2"/>
    </row>
    <row r="45" spans="27:30" x14ac:dyDescent="0.25">
      <c r="AA45" s="61">
        <v>0.01</v>
      </c>
      <c r="AB45" s="74">
        <f t="shared" ref="AB45:AB59" si="5">((1+AA45)^(1/12))-1</f>
        <v>8.295381143461622E-4</v>
      </c>
      <c r="AC45" s="2">
        <f t="shared" si="4"/>
        <v>-9.5139881533727166</v>
      </c>
      <c r="AD45" s="2">
        <v>1</v>
      </c>
    </row>
    <row r="46" spans="27:30" x14ac:dyDescent="0.25">
      <c r="AA46" s="61">
        <v>0.02</v>
      </c>
      <c r="AB46" s="74">
        <f t="shared" si="5"/>
        <v>1.6515813019202241E-3</v>
      </c>
      <c r="AC46" s="2">
        <f t="shared" si="4"/>
        <v>-6.5563157492483155</v>
      </c>
      <c r="AD46" s="2">
        <v>2</v>
      </c>
    </row>
    <row r="47" spans="27:30" x14ac:dyDescent="0.25">
      <c r="AA47" s="61">
        <v>0.03</v>
      </c>
      <c r="AB47" s="74">
        <f t="shared" si="5"/>
        <v>2.4662697723036864E-3</v>
      </c>
      <c r="AC47" s="2">
        <f t="shared" si="4"/>
        <v>-3.6800020534127542</v>
      </c>
      <c r="AD47" s="2">
        <v>3</v>
      </c>
    </row>
    <row r="48" spans="27:30" x14ac:dyDescent="0.25">
      <c r="AA48" s="61">
        <v>0.04</v>
      </c>
      <c r="AB48" s="74">
        <f t="shared" si="5"/>
        <v>3.2737397821989145E-3</v>
      </c>
      <c r="AC48" s="2">
        <f t="shared" si="4"/>
        <v>-0.88201596358630918</v>
      </c>
      <c r="AD48" s="2">
        <v>4</v>
      </c>
    </row>
    <row r="49" spans="27:40" x14ac:dyDescent="0.25">
      <c r="AA49" s="61">
        <v>0.05</v>
      </c>
      <c r="AB49" s="74">
        <f t="shared" si="5"/>
        <v>4.0741237836483535E-3</v>
      </c>
      <c r="AC49" s="2">
        <f t="shared" si="4"/>
        <v>1.8405323998686509</v>
      </c>
      <c r="AD49" s="2">
        <v>5</v>
      </c>
    </row>
    <row r="50" spans="27:40" x14ac:dyDescent="0.25">
      <c r="AA50" s="61">
        <v>0.06</v>
      </c>
      <c r="AB50" s="74">
        <f t="shared" si="5"/>
        <v>4.8675505653430484E-3</v>
      </c>
      <c r="AC50" s="2">
        <f t="shared" si="4"/>
        <v>4.4903995554236467</v>
      </c>
      <c r="AD50" s="2">
        <v>6</v>
      </c>
      <c r="AI50" s="1" t="s">
        <v>0</v>
      </c>
    </row>
    <row r="51" spans="27:40" x14ac:dyDescent="0.25">
      <c r="AA51" s="61">
        <v>7.0000000000000007E-2</v>
      </c>
      <c r="AB51" s="74">
        <f t="shared" si="5"/>
        <v>5.6541453874052738E-3</v>
      </c>
      <c r="AC51" s="2">
        <f t="shared" si="4"/>
        <v>7.0702160145303932</v>
      </c>
      <c r="AD51" s="2">
        <v>7</v>
      </c>
    </row>
    <row r="52" spans="27:40" x14ac:dyDescent="0.25">
      <c r="AA52" s="61">
        <v>0.08</v>
      </c>
      <c r="AB52" s="74">
        <f t="shared" si="5"/>
        <v>6.4340301100034303E-3</v>
      </c>
      <c r="AC52" s="2">
        <f t="shared" si="4"/>
        <v>9.5824931655762189</v>
      </c>
      <c r="AD52" s="2">
        <v>8</v>
      </c>
      <c r="AN52" s="1" t="s">
        <v>0</v>
      </c>
    </row>
    <row r="53" spans="27:40" x14ac:dyDescent="0.25">
      <c r="AA53" s="61">
        <v>0.09</v>
      </c>
      <c r="AB53" s="74">
        <f t="shared" si="5"/>
        <v>7.2073233161367156E-3</v>
      </c>
      <c r="AC53" s="2">
        <f t="shared" si="4"/>
        <v>12.02962972176174</v>
      </c>
      <c r="AD53" s="2">
        <v>9</v>
      </c>
    </row>
    <row r="54" spans="27:40" x14ac:dyDescent="0.25">
      <c r="AA54" s="61">
        <v>0.1</v>
      </c>
      <c r="AB54" s="74">
        <f t="shared" si="5"/>
        <v>7.9741404289037643E-3</v>
      </c>
      <c r="AC54" s="2">
        <f t="shared" si="4"/>
        <v>14.413917764243408</v>
      </c>
      <c r="AD54" s="2">
        <v>10</v>
      </c>
    </row>
    <row r="55" spans="27:40" x14ac:dyDescent="0.25">
      <c r="AA55" s="61">
        <v>0.11</v>
      </c>
      <c r="AB55" s="74">
        <f t="shared" si="5"/>
        <v>8.7345938235519061E-3</v>
      </c>
      <c r="AC55" s="2">
        <f t="shared" si="4"/>
        <v>16.737548409375684</v>
      </c>
      <c r="AD55" s="2">
        <v>11</v>
      </c>
    </row>
    <row r="56" spans="27:40" x14ac:dyDescent="0.25">
      <c r="AA56" s="61">
        <v>0.12</v>
      </c>
      <c r="AB56" s="74">
        <f t="shared" si="5"/>
        <v>9.4887929345830457E-3</v>
      </c>
      <c r="AC56" s="2">
        <f t="shared" si="4"/>
        <v>19.00261712658769</v>
      </c>
      <c r="AD56" s="2">
        <v>12</v>
      </c>
    </row>
    <row r="57" spans="27:40" x14ac:dyDescent="0.25">
      <c r="AA57" s="61">
        <v>0.13</v>
      </c>
      <c r="AB57" s="74">
        <f t="shared" si="5"/>
        <v>1.02368443581764E-2</v>
      </c>
      <c r="AC57" s="2">
        <f t="shared" si="4"/>
        <v>21.211128731340171</v>
      </c>
      <c r="AD57" s="2">
        <v>13</v>
      </c>
    </row>
    <row r="58" spans="27:40" x14ac:dyDescent="0.25">
      <c r="AA58" s="61">
        <v>0.14000000000000001</v>
      </c>
      <c r="AB58" s="74">
        <f t="shared" si="5"/>
        <v>1.0978851950173452E-2</v>
      </c>
      <c r="AC58" s="2">
        <f t="shared" si="4"/>
        <v>23.365002075702215</v>
      </c>
      <c r="AD58" s="2">
        <v>14</v>
      </c>
    </row>
    <row r="59" spans="27:40" x14ac:dyDescent="0.25">
      <c r="AA59" s="61">
        <v>0.15</v>
      </c>
      <c r="AB59" s="74">
        <f t="shared" si="5"/>
        <v>1.171491691985338E-2</v>
      </c>
      <c r="AC59" s="2">
        <f t="shared" si="4"/>
        <v>25.466074457333889</v>
      </c>
      <c r="AD59" s="2">
        <v>15</v>
      </c>
    </row>
    <row r="60" spans="27:40" x14ac:dyDescent="0.25">
      <c r="AA60" s="2"/>
      <c r="AB60" s="2"/>
      <c r="AC60" s="2"/>
      <c r="AD60" s="2"/>
    </row>
    <row r="61" spans="27:40" x14ac:dyDescent="0.25">
      <c r="AA61" s="2"/>
      <c r="AB61" s="2"/>
      <c r="AC61" s="2"/>
      <c r="AD61" s="2"/>
    </row>
    <row r="62" spans="27:40" x14ac:dyDescent="0.25">
      <c r="AA62" s="2"/>
      <c r="AB62" s="2"/>
      <c r="AC62" s="2"/>
      <c r="AD62" s="2"/>
    </row>
    <row r="63" spans="27:40" x14ac:dyDescent="0.25">
      <c r="AA63" s="2"/>
      <c r="AB63" s="2" t="s">
        <v>40</v>
      </c>
      <c r="AC63" s="2" t="s">
        <v>41</v>
      </c>
      <c r="AD63" s="2"/>
    </row>
    <row r="64" spans="27:40" x14ac:dyDescent="0.25">
      <c r="AA64" s="2" t="s">
        <v>8</v>
      </c>
      <c r="AB64" s="74">
        <f>IRR(B10:Z10)</f>
        <v>3.5314265816923651E-3</v>
      </c>
      <c r="AC64" s="74">
        <f>(1+AB64)^12 -1</f>
        <v>4.320996953855083E-2</v>
      </c>
      <c r="AD64" s="2"/>
      <c r="AG64" s="1">
        <f>AC64/0.73</f>
        <v>5.9191739093905245E-2</v>
      </c>
    </row>
    <row r="68" spans="30:30" x14ac:dyDescent="0.25">
      <c r="AD68" s="1">
        <f>AC64/(1-0.28)</f>
        <v>6.0013846581320598E-2</v>
      </c>
    </row>
  </sheetData>
  <mergeCells count="1">
    <mergeCell ref="B1:Z1"/>
  </mergeCells>
  <phoneticPr fontId="2" type="noConversion"/>
  <pageMargins left="0.75" right="0.75" top="1" bottom="1" header="0.5" footer="0.5"/>
  <headerFooter alignWithMargins="0">
    <oddHeader>&amp;A</oddHeader>
    <oddFooter>Page &amp;P</oddFooter>
  </headerFooter>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T115"/>
  <sheetViews>
    <sheetView topLeftCell="C1" workbookViewId="0">
      <selection activeCell="R43" sqref="R43"/>
    </sheetView>
  </sheetViews>
  <sheetFormatPr baseColWidth="10" defaultColWidth="9.33203125" defaultRowHeight="15" x14ac:dyDescent="0.25"/>
  <cols>
    <col min="1" max="1" width="11.33203125" style="2" customWidth="1"/>
    <col min="2" max="3" width="12" style="2" customWidth="1"/>
    <col min="4" max="4" width="11.83203125" style="62" customWidth="1"/>
    <col min="5" max="5" width="12.83203125" style="2" customWidth="1"/>
    <col min="6" max="6" width="7.33203125" style="2" customWidth="1"/>
    <col min="7" max="7" width="12" style="2" customWidth="1"/>
    <col min="8" max="8" width="17" style="2" customWidth="1"/>
    <col min="9" max="14" width="12" style="2" customWidth="1"/>
    <col min="15" max="15" width="11.5" style="2" customWidth="1"/>
    <col min="16" max="256" width="12" style="2" customWidth="1"/>
    <col min="257" max="16384" width="9.33203125" style="2"/>
  </cols>
  <sheetData>
    <row r="1" spans="1:8" x14ac:dyDescent="0.25">
      <c r="A1" s="2" t="s">
        <v>27</v>
      </c>
      <c r="C1" s="6">
        <v>11846</v>
      </c>
    </row>
    <row r="2" spans="1:8" x14ac:dyDescent="0.25">
      <c r="A2" s="2" t="s">
        <v>28</v>
      </c>
      <c r="C2" s="6">
        <v>59000</v>
      </c>
    </row>
    <row r="5" spans="1:8" x14ac:dyDescent="0.25">
      <c r="H5" s="2" t="s">
        <v>0</v>
      </c>
    </row>
    <row r="8" spans="1:8" x14ac:dyDescent="0.25">
      <c r="D8" s="62" t="s">
        <v>55</v>
      </c>
    </row>
    <row r="9" spans="1:8" x14ac:dyDescent="0.25">
      <c r="A9" s="2" t="s">
        <v>29</v>
      </c>
      <c r="B9" s="2" t="s">
        <v>54</v>
      </c>
      <c r="D9" s="62" t="s">
        <v>56</v>
      </c>
      <c r="E9" s="62" t="s">
        <v>59</v>
      </c>
    </row>
    <row r="10" spans="1:8" x14ac:dyDescent="0.25">
      <c r="A10" s="2">
        <v>0</v>
      </c>
      <c r="B10" s="2">
        <f>C2</f>
        <v>59000</v>
      </c>
      <c r="D10" s="62">
        <v>0</v>
      </c>
      <c r="E10" s="2">
        <f t="shared" ref="E10:E21" si="0">($B$10+NPV((((1+($D10/100))^0.25)-1),$B$11:$B$110))/1000</f>
        <v>-345.834</v>
      </c>
      <c r="H10" s="2" t="s">
        <v>0</v>
      </c>
    </row>
    <row r="11" spans="1:8" x14ac:dyDescent="0.25">
      <c r="A11" s="2">
        <v>1</v>
      </c>
      <c r="B11" s="2">
        <v>0</v>
      </c>
      <c r="D11" s="62">
        <v>1</v>
      </c>
      <c r="E11" s="2">
        <f t="shared" si="0"/>
        <v>-228.37511683031863</v>
      </c>
      <c r="F11" s="2">
        <v>1</v>
      </c>
    </row>
    <row r="12" spans="1:8" x14ac:dyDescent="0.25">
      <c r="A12" s="2">
        <v>2</v>
      </c>
      <c r="B12" s="2">
        <f>B10</f>
        <v>59000</v>
      </c>
      <c r="D12" s="62">
        <v>2</v>
      </c>
      <c r="E12" s="2">
        <f t="shared" si="0"/>
        <v>-131.8047802000911</v>
      </c>
      <c r="F12" s="2">
        <v>2</v>
      </c>
    </row>
    <row r="13" spans="1:8" x14ac:dyDescent="0.25">
      <c r="A13" s="2">
        <v>3</v>
      </c>
      <c r="B13" s="2">
        <v>0</v>
      </c>
      <c r="D13" s="62">
        <v>3</v>
      </c>
      <c r="E13" s="2">
        <f t="shared" si="0"/>
        <v>-52.220888375172478</v>
      </c>
      <c r="F13" s="2">
        <v>3</v>
      </c>
    </row>
    <row r="14" spans="1:8" x14ac:dyDescent="0.25">
      <c r="A14" s="2">
        <v>4</v>
      </c>
      <c r="B14" s="2">
        <f>B12</f>
        <v>59000</v>
      </c>
      <c r="D14" s="62">
        <v>4</v>
      </c>
      <c r="E14" s="2">
        <f t="shared" si="0"/>
        <v>13.498537799023216</v>
      </c>
      <c r="F14" s="2">
        <v>4</v>
      </c>
      <c r="G14" s="2" t="s">
        <v>0</v>
      </c>
    </row>
    <row r="15" spans="1:8" x14ac:dyDescent="0.25">
      <c r="A15" s="2">
        <v>5</v>
      </c>
      <c r="B15" s="2">
        <v>0</v>
      </c>
      <c r="D15" s="62">
        <v>5</v>
      </c>
      <c r="E15" s="2">
        <f t="shared" si="0"/>
        <v>67.860805884473066</v>
      </c>
      <c r="F15" s="2">
        <v>5</v>
      </c>
    </row>
    <row r="16" spans="1:8" x14ac:dyDescent="0.25">
      <c r="A16" s="2">
        <v>6</v>
      </c>
      <c r="B16" s="2">
        <f>B14</f>
        <v>59000</v>
      </c>
      <c r="D16" s="62">
        <v>6</v>
      </c>
      <c r="E16" s="2">
        <f t="shared" si="0"/>
        <v>112.88712101138366</v>
      </c>
      <c r="F16" s="2">
        <v>6</v>
      </c>
    </row>
    <row r="17" spans="1:10" x14ac:dyDescent="0.25">
      <c r="A17" s="2">
        <v>7</v>
      </c>
      <c r="B17" s="2">
        <v>0</v>
      </c>
      <c r="D17" s="62">
        <v>7</v>
      </c>
      <c r="E17" s="2">
        <f t="shared" si="0"/>
        <v>150.21285421807841</v>
      </c>
      <c r="F17" s="2">
        <v>7</v>
      </c>
      <c r="G17" s="2" t="s">
        <v>0</v>
      </c>
    </row>
    <row r="18" spans="1:10" x14ac:dyDescent="0.25">
      <c r="A18" s="2">
        <v>8</v>
      </c>
      <c r="B18" s="2">
        <f>B16</f>
        <v>59000</v>
      </c>
      <c r="D18" s="62">
        <v>8</v>
      </c>
      <c r="E18" s="2">
        <f t="shared" si="0"/>
        <v>181.16601801004001</v>
      </c>
      <c r="F18" s="2">
        <v>8</v>
      </c>
    </row>
    <row r="19" spans="1:10" x14ac:dyDescent="0.25">
      <c r="A19" s="2">
        <v>9</v>
      </c>
      <c r="B19" s="2">
        <v>0</v>
      </c>
      <c r="D19" s="62">
        <v>9</v>
      </c>
      <c r="E19" s="2">
        <f t="shared" si="0"/>
        <v>206.82890215074281</v>
      </c>
      <c r="F19" s="2">
        <v>9</v>
      </c>
      <c r="H19" s="2" t="s">
        <v>0</v>
      </c>
    </row>
    <row r="20" spans="1:10" x14ac:dyDescent="0.25">
      <c r="A20" s="2">
        <v>10</v>
      </c>
      <c r="B20" s="2">
        <f>B18</f>
        <v>59000</v>
      </c>
      <c r="D20" s="62">
        <v>10</v>
      </c>
      <c r="E20" s="2">
        <f t="shared" si="0"/>
        <v>228.08665216897455</v>
      </c>
      <c r="H20" s="2" t="s">
        <v>0</v>
      </c>
    </row>
    <row r="21" spans="1:10" x14ac:dyDescent="0.25">
      <c r="A21" s="2">
        <v>11</v>
      </c>
      <c r="B21" s="2">
        <v>0</v>
      </c>
      <c r="C21" s="62" t="s">
        <v>8</v>
      </c>
      <c r="D21" s="117">
        <v>5.26</v>
      </c>
      <c r="E21" s="61">
        <f t="shared" si="0"/>
        <v>80.393602697842553</v>
      </c>
      <c r="F21" s="2" t="s">
        <v>58</v>
      </c>
      <c r="G21" s="61"/>
    </row>
    <row r="22" spans="1:10" x14ac:dyDescent="0.25">
      <c r="A22" s="2">
        <v>12</v>
      </c>
      <c r="B22" s="2">
        <f>B20</f>
        <v>59000</v>
      </c>
      <c r="C22" s="62" t="s">
        <v>8</v>
      </c>
      <c r="D22" s="118">
        <f>IRR(B10:B110)</f>
        <v>9.315257497652718E-3</v>
      </c>
      <c r="F22" s="2" t="s">
        <v>57</v>
      </c>
      <c r="J22" s="2" t="s">
        <v>0</v>
      </c>
    </row>
    <row r="23" spans="1:10" x14ac:dyDescent="0.25">
      <c r="A23" s="2">
        <v>13</v>
      </c>
      <c r="B23" s="2">
        <v>0</v>
      </c>
    </row>
    <row r="24" spans="1:10" x14ac:dyDescent="0.25">
      <c r="A24" s="2">
        <v>14</v>
      </c>
      <c r="B24" s="2">
        <f>B22</f>
        <v>59000</v>
      </c>
    </row>
    <row r="25" spans="1:10" x14ac:dyDescent="0.25">
      <c r="A25" s="2">
        <v>15</v>
      </c>
      <c r="B25" s="2">
        <v>0</v>
      </c>
    </row>
    <row r="26" spans="1:10" x14ac:dyDescent="0.25">
      <c r="A26" s="2">
        <v>16</v>
      </c>
      <c r="B26" s="2">
        <f>B24</f>
        <v>59000</v>
      </c>
    </row>
    <row r="27" spans="1:10" x14ac:dyDescent="0.25">
      <c r="A27" s="2">
        <v>17</v>
      </c>
      <c r="B27" s="2">
        <v>0</v>
      </c>
      <c r="E27" s="6" t="s">
        <v>30</v>
      </c>
    </row>
    <row r="28" spans="1:10" x14ac:dyDescent="0.25">
      <c r="A28" s="2">
        <v>18</v>
      </c>
      <c r="B28" s="2">
        <f>B26</f>
        <v>59000</v>
      </c>
      <c r="D28" s="62" t="s">
        <v>0</v>
      </c>
    </row>
    <row r="29" spans="1:10" x14ac:dyDescent="0.25">
      <c r="A29" s="2">
        <v>19</v>
      </c>
      <c r="B29" s="2">
        <v>0</v>
      </c>
    </row>
    <row r="30" spans="1:10" x14ac:dyDescent="0.25">
      <c r="A30" s="2">
        <v>20</v>
      </c>
      <c r="B30" s="2">
        <v>0</v>
      </c>
    </row>
    <row r="31" spans="1:10" x14ac:dyDescent="0.25">
      <c r="A31" s="2">
        <v>21</v>
      </c>
      <c r="B31" s="2">
        <v>0</v>
      </c>
    </row>
    <row r="32" spans="1:10" x14ac:dyDescent="0.25">
      <c r="A32" s="2">
        <v>22</v>
      </c>
      <c r="B32" s="2">
        <f>-C1</f>
        <v>-11846</v>
      </c>
      <c r="C32" s="2">
        <v>1</v>
      </c>
    </row>
    <row r="33" spans="1:20" x14ac:dyDescent="0.25">
      <c r="A33" s="2">
        <v>23</v>
      </c>
      <c r="B33" s="2">
        <f t="shared" ref="B33:B63" si="1">B32</f>
        <v>-11846</v>
      </c>
      <c r="C33" s="2">
        <v>2</v>
      </c>
    </row>
    <row r="34" spans="1:20" x14ac:dyDescent="0.25">
      <c r="A34" s="2">
        <v>24</v>
      </c>
      <c r="B34" s="2">
        <f t="shared" si="1"/>
        <v>-11846</v>
      </c>
      <c r="C34" s="2">
        <v>3</v>
      </c>
    </row>
    <row r="35" spans="1:20" x14ac:dyDescent="0.25">
      <c r="A35" s="2">
        <v>25</v>
      </c>
      <c r="B35" s="2">
        <f t="shared" si="1"/>
        <v>-11846</v>
      </c>
      <c r="C35" s="2">
        <v>4</v>
      </c>
      <c r="T35" s="2" t="s">
        <v>0</v>
      </c>
    </row>
    <row r="36" spans="1:20" x14ac:dyDescent="0.25">
      <c r="A36" s="2">
        <v>26</v>
      </c>
      <c r="B36" s="2">
        <f t="shared" si="1"/>
        <v>-11846</v>
      </c>
      <c r="C36" s="2">
        <v>5</v>
      </c>
    </row>
    <row r="37" spans="1:20" x14ac:dyDescent="0.25">
      <c r="A37" s="2">
        <v>27</v>
      </c>
      <c r="B37" s="2">
        <f t="shared" si="1"/>
        <v>-11846</v>
      </c>
      <c r="C37" s="2">
        <v>6</v>
      </c>
    </row>
    <row r="38" spans="1:20" x14ac:dyDescent="0.25">
      <c r="A38" s="2">
        <v>28</v>
      </c>
      <c r="B38" s="2">
        <f t="shared" si="1"/>
        <v>-11846</v>
      </c>
      <c r="C38" s="2">
        <v>7</v>
      </c>
    </row>
    <row r="39" spans="1:20" x14ac:dyDescent="0.25">
      <c r="A39" s="2">
        <v>29</v>
      </c>
      <c r="B39" s="2">
        <f t="shared" si="1"/>
        <v>-11846</v>
      </c>
      <c r="C39" s="2">
        <v>8</v>
      </c>
    </row>
    <row r="40" spans="1:20" x14ac:dyDescent="0.25">
      <c r="A40" s="2">
        <v>30</v>
      </c>
      <c r="B40" s="2">
        <f t="shared" si="1"/>
        <v>-11846</v>
      </c>
      <c r="C40" s="2">
        <v>9</v>
      </c>
    </row>
    <row r="41" spans="1:20" x14ac:dyDescent="0.25">
      <c r="A41" s="2">
        <v>31</v>
      </c>
      <c r="B41" s="2">
        <f t="shared" si="1"/>
        <v>-11846</v>
      </c>
      <c r="C41" s="2">
        <v>10</v>
      </c>
    </row>
    <row r="42" spans="1:20" x14ac:dyDescent="0.25">
      <c r="A42" s="2">
        <v>32</v>
      </c>
      <c r="B42" s="2">
        <f t="shared" si="1"/>
        <v>-11846</v>
      </c>
      <c r="C42" s="2">
        <v>11</v>
      </c>
    </row>
    <row r="43" spans="1:20" x14ac:dyDescent="0.25">
      <c r="A43" s="2">
        <v>33</v>
      </c>
      <c r="B43" s="2">
        <f t="shared" si="1"/>
        <v>-11846</v>
      </c>
      <c r="C43" s="2">
        <v>12</v>
      </c>
    </row>
    <row r="44" spans="1:20" x14ac:dyDescent="0.25">
      <c r="A44" s="2">
        <v>34</v>
      </c>
      <c r="B44" s="2">
        <f t="shared" si="1"/>
        <v>-11846</v>
      </c>
      <c r="C44" s="2">
        <v>13</v>
      </c>
    </row>
    <row r="45" spans="1:20" x14ac:dyDescent="0.25">
      <c r="A45" s="2">
        <v>35</v>
      </c>
      <c r="B45" s="2">
        <f t="shared" si="1"/>
        <v>-11846</v>
      </c>
      <c r="C45" s="2">
        <v>14</v>
      </c>
    </row>
    <row r="46" spans="1:20" x14ac:dyDescent="0.25">
      <c r="A46" s="2">
        <v>36</v>
      </c>
      <c r="B46" s="2">
        <f t="shared" si="1"/>
        <v>-11846</v>
      </c>
      <c r="C46" s="2">
        <v>15</v>
      </c>
    </row>
    <row r="47" spans="1:20" x14ac:dyDescent="0.25">
      <c r="A47" s="2">
        <v>37</v>
      </c>
      <c r="B47" s="2">
        <f t="shared" si="1"/>
        <v>-11846</v>
      </c>
      <c r="C47" s="2">
        <v>16</v>
      </c>
    </row>
    <row r="48" spans="1:20" x14ac:dyDescent="0.25">
      <c r="A48" s="2">
        <v>38</v>
      </c>
      <c r="B48" s="2">
        <f t="shared" si="1"/>
        <v>-11846</v>
      </c>
      <c r="C48" s="2">
        <v>17</v>
      </c>
    </row>
    <row r="49" spans="1:3" x14ac:dyDescent="0.25">
      <c r="A49" s="2">
        <v>39</v>
      </c>
      <c r="B49" s="2">
        <f t="shared" si="1"/>
        <v>-11846</v>
      </c>
      <c r="C49" s="2">
        <v>18</v>
      </c>
    </row>
    <row r="50" spans="1:3" x14ac:dyDescent="0.25">
      <c r="A50" s="2">
        <v>40</v>
      </c>
      <c r="B50" s="2">
        <f t="shared" si="1"/>
        <v>-11846</v>
      </c>
      <c r="C50" s="2">
        <v>19</v>
      </c>
    </row>
    <row r="51" spans="1:3" x14ac:dyDescent="0.25">
      <c r="A51" s="2">
        <v>41</v>
      </c>
      <c r="B51" s="2">
        <f t="shared" si="1"/>
        <v>-11846</v>
      </c>
      <c r="C51" s="2">
        <v>20</v>
      </c>
    </row>
    <row r="52" spans="1:3" x14ac:dyDescent="0.25">
      <c r="A52" s="2">
        <v>42</v>
      </c>
      <c r="B52" s="2">
        <f t="shared" si="1"/>
        <v>-11846</v>
      </c>
      <c r="C52" s="2">
        <v>21</v>
      </c>
    </row>
    <row r="53" spans="1:3" x14ac:dyDescent="0.25">
      <c r="A53" s="2">
        <v>43</v>
      </c>
      <c r="B53" s="2">
        <f t="shared" si="1"/>
        <v>-11846</v>
      </c>
      <c r="C53" s="2">
        <v>22</v>
      </c>
    </row>
    <row r="54" spans="1:3" x14ac:dyDescent="0.25">
      <c r="A54" s="2">
        <v>44</v>
      </c>
      <c r="B54" s="2">
        <f t="shared" si="1"/>
        <v>-11846</v>
      </c>
      <c r="C54" s="2">
        <v>23</v>
      </c>
    </row>
    <row r="55" spans="1:3" x14ac:dyDescent="0.25">
      <c r="A55" s="2">
        <v>45</v>
      </c>
      <c r="B55" s="2">
        <f t="shared" si="1"/>
        <v>-11846</v>
      </c>
      <c r="C55" s="2">
        <v>24</v>
      </c>
    </row>
    <row r="56" spans="1:3" x14ac:dyDescent="0.25">
      <c r="A56" s="2">
        <v>46</v>
      </c>
      <c r="B56" s="2">
        <f t="shared" si="1"/>
        <v>-11846</v>
      </c>
      <c r="C56" s="2">
        <v>25</v>
      </c>
    </row>
    <row r="57" spans="1:3" x14ac:dyDescent="0.25">
      <c r="A57" s="2">
        <v>47</v>
      </c>
      <c r="B57" s="2">
        <f t="shared" si="1"/>
        <v>-11846</v>
      </c>
      <c r="C57" s="2">
        <v>26</v>
      </c>
    </row>
    <row r="58" spans="1:3" x14ac:dyDescent="0.25">
      <c r="A58" s="2">
        <v>48</v>
      </c>
      <c r="B58" s="2">
        <f t="shared" si="1"/>
        <v>-11846</v>
      </c>
      <c r="C58" s="2">
        <v>27</v>
      </c>
    </row>
    <row r="59" spans="1:3" x14ac:dyDescent="0.25">
      <c r="A59" s="2">
        <v>49</v>
      </c>
      <c r="B59" s="2">
        <f t="shared" si="1"/>
        <v>-11846</v>
      </c>
      <c r="C59" s="2">
        <v>28</v>
      </c>
    </row>
    <row r="60" spans="1:3" x14ac:dyDescent="0.25">
      <c r="A60" s="2">
        <v>50</v>
      </c>
      <c r="B60" s="2">
        <f t="shared" si="1"/>
        <v>-11846</v>
      </c>
      <c r="C60" s="2">
        <v>29</v>
      </c>
    </row>
    <row r="61" spans="1:3" x14ac:dyDescent="0.25">
      <c r="A61" s="2">
        <v>51</v>
      </c>
      <c r="B61" s="2">
        <f t="shared" si="1"/>
        <v>-11846</v>
      </c>
      <c r="C61" s="2">
        <v>30</v>
      </c>
    </row>
    <row r="62" spans="1:3" x14ac:dyDescent="0.25">
      <c r="A62" s="2">
        <v>52</v>
      </c>
      <c r="B62" s="2">
        <f t="shared" si="1"/>
        <v>-11846</v>
      </c>
      <c r="C62" s="2">
        <v>31</v>
      </c>
    </row>
    <row r="63" spans="1:3" x14ac:dyDescent="0.25">
      <c r="A63" s="2">
        <v>53</v>
      </c>
      <c r="B63" s="2">
        <f t="shared" si="1"/>
        <v>-11846</v>
      </c>
      <c r="C63" s="2">
        <v>32</v>
      </c>
    </row>
    <row r="64" spans="1:3" x14ac:dyDescent="0.25">
      <c r="A64" s="2">
        <v>54</v>
      </c>
      <c r="B64" s="2">
        <f t="shared" ref="B64:B95" si="2">B63</f>
        <v>-11846</v>
      </c>
      <c r="C64" s="2">
        <v>33</v>
      </c>
    </row>
    <row r="65" spans="1:3" x14ac:dyDescent="0.25">
      <c r="A65" s="2">
        <v>55</v>
      </c>
      <c r="B65" s="2">
        <f t="shared" si="2"/>
        <v>-11846</v>
      </c>
      <c r="C65" s="2">
        <v>34</v>
      </c>
    </row>
    <row r="66" spans="1:3" x14ac:dyDescent="0.25">
      <c r="A66" s="2">
        <v>56</v>
      </c>
      <c r="B66" s="2">
        <f t="shared" si="2"/>
        <v>-11846</v>
      </c>
      <c r="C66" s="2">
        <v>35</v>
      </c>
    </row>
    <row r="67" spans="1:3" x14ac:dyDescent="0.25">
      <c r="A67" s="2">
        <v>57</v>
      </c>
      <c r="B67" s="2">
        <f t="shared" si="2"/>
        <v>-11846</v>
      </c>
      <c r="C67" s="2">
        <v>36</v>
      </c>
    </row>
    <row r="68" spans="1:3" x14ac:dyDescent="0.25">
      <c r="A68" s="2">
        <v>58</v>
      </c>
      <c r="B68" s="2">
        <f t="shared" si="2"/>
        <v>-11846</v>
      </c>
      <c r="C68" s="2">
        <v>37</v>
      </c>
    </row>
    <row r="69" spans="1:3" x14ac:dyDescent="0.25">
      <c r="A69" s="2">
        <v>59</v>
      </c>
      <c r="B69" s="2">
        <f t="shared" si="2"/>
        <v>-11846</v>
      </c>
      <c r="C69" s="2">
        <v>38</v>
      </c>
    </row>
    <row r="70" spans="1:3" x14ac:dyDescent="0.25">
      <c r="A70" s="2">
        <v>60</v>
      </c>
      <c r="B70" s="2">
        <f t="shared" si="2"/>
        <v>-11846</v>
      </c>
      <c r="C70" s="2">
        <v>39</v>
      </c>
    </row>
    <row r="71" spans="1:3" x14ac:dyDescent="0.25">
      <c r="A71" s="2">
        <v>61</v>
      </c>
      <c r="B71" s="2">
        <f t="shared" si="2"/>
        <v>-11846</v>
      </c>
      <c r="C71" s="2">
        <v>40</v>
      </c>
    </row>
    <row r="72" spans="1:3" x14ac:dyDescent="0.25">
      <c r="A72" s="2">
        <v>62</v>
      </c>
      <c r="B72" s="2">
        <f t="shared" si="2"/>
        <v>-11846</v>
      </c>
      <c r="C72" s="2">
        <v>41</v>
      </c>
    </row>
    <row r="73" spans="1:3" x14ac:dyDescent="0.25">
      <c r="A73" s="2">
        <v>63</v>
      </c>
      <c r="B73" s="2">
        <f t="shared" si="2"/>
        <v>-11846</v>
      </c>
      <c r="C73" s="2">
        <v>42</v>
      </c>
    </row>
    <row r="74" spans="1:3" x14ac:dyDescent="0.25">
      <c r="A74" s="2">
        <v>64</v>
      </c>
      <c r="B74" s="2">
        <f t="shared" si="2"/>
        <v>-11846</v>
      </c>
      <c r="C74" s="2">
        <v>43</v>
      </c>
    </row>
    <row r="75" spans="1:3" x14ac:dyDescent="0.25">
      <c r="A75" s="2">
        <v>65</v>
      </c>
      <c r="B75" s="2">
        <f t="shared" si="2"/>
        <v>-11846</v>
      </c>
      <c r="C75" s="2">
        <v>44</v>
      </c>
    </row>
    <row r="76" spans="1:3" x14ac:dyDescent="0.25">
      <c r="A76" s="2">
        <v>66</v>
      </c>
      <c r="B76" s="2">
        <f t="shared" si="2"/>
        <v>-11846</v>
      </c>
      <c r="C76" s="2">
        <v>45</v>
      </c>
    </row>
    <row r="77" spans="1:3" x14ac:dyDescent="0.25">
      <c r="A77" s="2">
        <v>67</v>
      </c>
      <c r="B77" s="2">
        <f t="shared" si="2"/>
        <v>-11846</v>
      </c>
      <c r="C77" s="2">
        <v>46</v>
      </c>
    </row>
    <row r="78" spans="1:3" x14ac:dyDescent="0.25">
      <c r="A78" s="2">
        <v>68</v>
      </c>
      <c r="B78" s="2">
        <f t="shared" si="2"/>
        <v>-11846</v>
      </c>
      <c r="C78" s="2">
        <v>47</v>
      </c>
    </row>
    <row r="79" spans="1:3" x14ac:dyDescent="0.25">
      <c r="A79" s="2">
        <v>69</v>
      </c>
      <c r="B79" s="2">
        <f t="shared" si="2"/>
        <v>-11846</v>
      </c>
      <c r="C79" s="2">
        <v>48</v>
      </c>
    </row>
    <row r="80" spans="1:3" x14ac:dyDescent="0.25">
      <c r="A80" s="2">
        <v>70</v>
      </c>
      <c r="B80" s="2">
        <f t="shared" si="2"/>
        <v>-11846</v>
      </c>
      <c r="C80" s="2">
        <v>49</v>
      </c>
    </row>
    <row r="81" spans="1:3" x14ac:dyDescent="0.25">
      <c r="A81" s="2">
        <v>71</v>
      </c>
      <c r="B81" s="2">
        <f t="shared" si="2"/>
        <v>-11846</v>
      </c>
      <c r="C81" s="2">
        <v>50</v>
      </c>
    </row>
    <row r="82" spans="1:3" x14ac:dyDescent="0.25">
      <c r="A82" s="2">
        <v>72</v>
      </c>
      <c r="B82" s="2">
        <f t="shared" si="2"/>
        <v>-11846</v>
      </c>
      <c r="C82" s="2">
        <v>51</v>
      </c>
    </row>
    <row r="83" spans="1:3" x14ac:dyDescent="0.25">
      <c r="A83" s="2">
        <v>73</v>
      </c>
      <c r="B83" s="2">
        <f t="shared" si="2"/>
        <v>-11846</v>
      </c>
      <c r="C83" s="2">
        <v>52</v>
      </c>
    </row>
    <row r="84" spans="1:3" x14ac:dyDescent="0.25">
      <c r="A84" s="2">
        <v>74</v>
      </c>
      <c r="B84" s="2">
        <f t="shared" si="2"/>
        <v>-11846</v>
      </c>
      <c r="C84" s="2">
        <v>53</v>
      </c>
    </row>
    <row r="85" spans="1:3" x14ac:dyDescent="0.25">
      <c r="A85" s="2">
        <v>75</v>
      </c>
      <c r="B85" s="2">
        <f t="shared" si="2"/>
        <v>-11846</v>
      </c>
      <c r="C85" s="2">
        <v>54</v>
      </c>
    </row>
    <row r="86" spans="1:3" x14ac:dyDescent="0.25">
      <c r="A86" s="2">
        <v>76</v>
      </c>
      <c r="B86" s="2">
        <f t="shared" si="2"/>
        <v>-11846</v>
      </c>
      <c r="C86" s="2">
        <v>55</v>
      </c>
    </row>
    <row r="87" spans="1:3" x14ac:dyDescent="0.25">
      <c r="A87" s="2">
        <v>77</v>
      </c>
      <c r="B87" s="2">
        <f t="shared" si="2"/>
        <v>-11846</v>
      </c>
      <c r="C87" s="2">
        <v>56</v>
      </c>
    </row>
    <row r="88" spans="1:3" x14ac:dyDescent="0.25">
      <c r="A88" s="2">
        <v>78</v>
      </c>
      <c r="B88" s="2">
        <f t="shared" si="2"/>
        <v>-11846</v>
      </c>
      <c r="C88" s="2">
        <v>57</v>
      </c>
    </row>
    <row r="89" spans="1:3" x14ac:dyDescent="0.25">
      <c r="A89" s="2">
        <v>79</v>
      </c>
      <c r="B89" s="2">
        <f t="shared" si="2"/>
        <v>-11846</v>
      </c>
      <c r="C89" s="2">
        <v>58</v>
      </c>
    </row>
    <row r="90" spans="1:3" x14ac:dyDescent="0.25">
      <c r="A90" s="2">
        <v>80</v>
      </c>
      <c r="B90" s="2">
        <f t="shared" si="2"/>
        <v>-11846</v>
      </c>
      <c r="C90" s="2">
        <v>59</v>
      </c>
    </row>
    <row r="91" spans="1:3" x14ac:dyDescent="0.25">
      <c r="A91" s="2">
        <v>81</v>
      </c>
      <c r="B91" s="2">
        <f t="shared" si="2"/>
        <v>-11846</v>
      </c>
      <c r="C91" s="2">
        <v>60</v>
      </c>
    </row>
    <row r="92" spans="1:3" x14ac:dyDescent="0.25">
      <c r="A92" s="2">
        <v>82</v>
      </c>
      <c r="B92" s="2">
        <f t="shared" si="2"/>
        <v>-11846</v>
      </c>
      <c r="C92" s="2">
        <v>61</v>
      </c>
    </row>
    <row r="93" spans="1:3" x14ac:dyDescent="0.25">
      <c r="A93" s="2">
        <v>83</v>
      </c>
      <c r="B93" s="2">
        <f t="shared" si="2"/>
        <v>-11846</v>
      </c>
      <c r="C93" s="2">
        <v>62</v>
      </c>
    </row>
    <row r="94" spans="1:3" x14ac:dyDescent="0.25">
      <c r="A94" s="2">
        <v>84</v>
      </c>
      <c r="B94" s="2">
        <f t="shared" si="2"/>
        <v>-11846</v>
      </c>
      <c r="C94" s="2">
        <v>63</v>
      </c>
    </row>
    <row r="95" spans="1:3" x14ac:dyDescent="0.25">
      <c r="A95" s="2">
        <v>85</v>
      </c>
      <c r="B95" s="2">
        <f t="shared" si="2"/>
        <v>-11846</v>
      </c>
      <c r="C95" s="2">
        <v>64</v>
      </c>
    </row>
    <row r="96" spans="1:3" x14ac:dyDescent="0.25">
      <c r="A96" s="2">
        <v>86</v>
      </c>
      <c r="B96" s="2">
        <f t="shared" ref="B96:B110" si="3">B95</f>
        <v>-11846</v>
      </c>
      <c r="C96" s="2">
        <v>65</v>
      </c>
    </row>
    <row r="97" spans="1:3" x14ac:dyDescent="0.25">
      <c r="A97" s="2">
        <v>87</v>
      </c>
      <c r="B97" s="2">
        <f t="shared" si="3"/>
        <v>-11846</v>
      </c>
      <c r="C97" s="2">
        <v>66</v>
      </c>
    </row>
    <row r="98" spans="1:3" x14ac:dyDescent="0.25">
      <c r="A98" s="2">
        <v>88</v>
      </c>
      <c r="B98" s="2">
        <f t="shared" si="3"/>
        <v>-11846</v>
      </c>
      <c r="C98" s="2">
        <v>67</v>
      </c>
    </row>
    <row r="99" spans="1:3" x14ac:dyDescent="0.25">
      <c r="A99" s="2">
        <v>89</v>
      </c>
      <c r="B99" s="2">
        <f t="shared" si="3"/>
        <v>-11846</v>
      </c>
      <c r="C99" s="2">
        <v>68</v>
      </c>
    </row>
    <row r="100" spans="1:3" x14ac:dyDescent="0.25">
      <c r="A100" s="2">
        <v>90</v>
      </c>
      <c r="B100" s="2">
        <f t="shared" si="3"/>
        <v>-11846</v>
      </c>
      <c r="C100" s="2">
        <v>69</v>
      </c>
    </row>
    <row r="101" spans="1:3" ht="13.5" customHeight="1" x14ac:dyDescent="0.25">
      <c r="A101" s="2">
        <v>91</v>
      </c>
      <c r="B101" s="2">
        <f t="shared" si="3"/>
        <v>-11846</v>
      </c>
      <c r="C101" s="2">
        <v>70</v>
      </c>
    </row>
    <row r="102" spans="1:3" x14ac:dyDescent="0.25">
      <c r="A102" s="2">
        <v>92</v>
      </c>
      <c r="B102" s="2">
        <f t="shared" si="3"/>
        <v>-11846</v>
      </c>
      <c r="C102" s="2">
        <v>71</v>
      </c>
    </row>
    <row r="103" spans="1:3" x14ac:dyDescent="0.25">
      <c r="A103" s="2">
        <v>93</v>
      </c>
      <c r="B103" s="2">
        <f t="shared" si="3"/>
        <v>-11846</v>
      </c>
      <c r="C103" s="2">
        <v>72</v>
      </c>
    </row>
    <row r="104" spans="1:3" x14ac:dyDescent="0.25">
      <c r="A104" s="2">
        <v>94</v>
      </c>
      <c r="B104" s="2">
        <f t="shared" si="3"/>
        <v>-11846</v>
      </c>
      <c r="C104" s="2">
        <v>73</v>
      </c>
    </row>
    <row r="105" spans="1:3" x14ac:dyDescent="0.25">
      <c r="A105" s="2">
        <v>95</v>
      </c>
      <c r="B105" s="2">
        <f t="shared" si="3"/>
        <v>-11846</v>
      </c>
      <c r="C105" s="2">
        <v>74</v>
      </c>
    </row>
    <row r="106" spans="1:3" x14ac:dyDescent="0.25">
      <c r="A106" s="2">
        <v>96</v>
      </c>
      <c r="B106" s="2">
        <f t="shared" si="3"/>
        <v>-11846</v>
      </c>
      <c r="C106" s="2">
        <v>75</v>
      </c>
    </row>
    <row r="107" spans="1:3" x14ac:dyDescent="0.25">
      <c r="A107" s="2">
        <v>97</v>
      </c>
      <c r="B107" s="2">
        <f t="shared" si="3"/>
        <v>-11846</v>
      </c>
      <c r="C107" s="2">
        <v>76</v>
      </c>
    </row>
    <row r="108" spans="1:3" x14ac:dyDescent="0.25">
      <c r="A108" s="2">
        <v>98</v>
      </c>
      <c r="B108" s="2">
        <f t="shared" si="3"/>
        <v>-11846</v>
      </c>
      <c r="C108" s="2">
        <v>77</v>
      </c>
    </row>
    <row r="109" spans="1:3" x14ac:dyDescent="0.25">
      <c r="A109" s="2">
        <v>99</v>
      </c>
      <c r="B109" s="2">
        <f t="shared" si="3"/>
        <v>-11846</v>
      </c>
      <c r="C109" s="2">
        <v>78</v>
      </c>
    </row>
    <row r="110" spans="1:3" x14ac:dyDescent="0.25">
      <c r="A110" s="2">
        <v>100</v>
      </c>
      <c r="B110" s="2">
        <f t="shared" si="3"/>
        <v>-11846</v>
      </c>
      <c r="C110" s="2">
        <v>79</v>
      </c>
    </row>
    <row r="115" spans="3:3" x14ac:dyDescent="0.25">
      <c r="C115" s="2" t="s">
        <v>0</v>
      </c>
    </row>
  </sheetData>
  <phoneticPr fontId="2" type="noConversion"/>
  <pageMargins left="0.75" right="0.75" top="1" bottom="1" header="0.5" footer="0.5"/>
  <pageSetup paperSize="9" orientation="portrait" verticalDpi="0" r:id="rId1"/>
  <headerFooter alignWithMargins="0">
    <oddHeader>&amp;A</oddHeader>
    <oddFooter>Page &amp;P</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
  <sheetViews>
    <sheetView workbookViewId="0"/>
  </sheetViews>
  <sheetFormatPr baseColWidth="10" defaultColWidth="8.83203125" defaultRowHeight="12.75" x14ac:dyDescent="0.2"/>
  <sheetData/>
  <phoneticPr fontId="2" type="noConversion"/>
  <pageMargins left="0.75" right="0.75" top="1" bottom="1" header="0.5" footer="0.5"/>
  <headerFooter alignWithMargins="0">
    <oddHeader>&amp;A</oddHeader>
    <oddFooter>Page &amp;P</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
  <sheetViews>
    <sheetView workbookViewId="0"/>
  </sheetViews>
  <sheetFormatPr baseColWidth="10" defaultColWidth="8.83203125" defaultRowHeight="12.75" x14ac:dyDescent="0.2"/>
  <sheetData/>
  <phoneticPr fontId="2" type="noConversion"/>
  <pageMargins left="0.75" right="0.75" top="1" bottom="1" header="0.5" footer="0.5"/>
  <headerFooter alignWithMargins="0">
    <oddHeader>&amp;A</oddHeader>
    <oddFooter>Page &amp;P</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
  <sheetViews>
    <sheetView workbookViewId="0"/>
  </sheetViews>
  <sheetFormatPr baseColWidth="10" defaultColWidth="8.83203125" defaultRowHeight="12.75" x14ac:dyDescent="0.2"/>
  <sheetData/>
  <phoneticPr fontId="2" type="noConversion"/>
  <pageMargins left="0.75" right="0.75" top="1" bottom="1" header="0.5" footer="0.5"/>
  <headerFooter alignWithMargins="0">
    <oddHeader>&amp;A</oddHeader>
    <oddFooter>Page &amp;P</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
  <sheetViews>
    <sheetView workbookViewId="0"/>
  </sheetViews>
  <sheetFormatPr baseColWidth="10" defaultColWidth="8.83203125" defaultRowHeight="12.75" x14ac:dyDescent="0.2"/>
  <sheetData/>
  <phoneticPr fontId="2" type="noConversion"/>
  <pageMargins left="0.75" right="0.75" top="1" bottom="1" header="0.5" footer="0.5"/>
  <headerFooter alignWithMargins="0">
    <oddHeader>&amp;A</oddHeader>
    <oddFooter>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42"/>
  <sheetViews>
    <sheetView zoomScaleNormal="100" workbookViewId="0"/>
  </sheetViews>
  <sheetFormatPr baseColWidth="10" defaultColWidth="13.33203125" defaultRowHeight="12.75" x14ac:dyDescent="0.2"/>
  <cols>
    <col min="1" max="1" width="17.5" style="11" customWidth="1"/>
    <col min="2" max="2" width="13.33203125" style="11" customWidth="1"/>
    <col min="3" max="3" width="16.33203125" style="11" customWidth="1"/>
    <col min="4" max="16384" width="13.33203125" style="11"/>
  </cols>
  <sheetData>
    <row r="1" spans="1:9" ht="15" x14ac:dyDescent="0.25">
      <c r="A1" s="17" t="s">
        <v>122</v>
      </c>
    </row>
    <row r="2" spans="1:9" ht="15" x14ac:dyDescent="0.25">
      <c r="A2" s="17" t="s">
        <v>96</v>
      </c>
      <c r="B2" s="17" t="s">
        <v>4</v>
      </c>
      <c r="C2" s="17" t="s">
        <v>3</v>
      </c>
      <c r="D2" s="17" t="s">
        <v>123</v>
      </c>
      <c r="E2" s="17" t="s">
        <v>97</v>
      </c>
      <c r="F2" s="17" t="s">
        <v>74</v>
      </c>
      <c r="G2" s="17" t="s">
        <v>24</v>
      </c>
    </row>
    <row r="3" spans="1:9" ht="15" x14ac:dyDescent="0.25">
      <c r="A3" s="10">
        <v>1</v>
      </c>
      <c r="B3" s="12">
        <v>-100</v>
      </c>
      <c r="C3" s="12">
        <v>12</v>
      </c>
      <c r="D3" s="12">
        <v>10</v>
      </c>
      <c r="E3" s="13">
        <v>50</v>
      </c>
      <c r="F3" s="16">
        <f>B3-PV($B$7,D3,C3,E3)</f>
        <v>16.24078346273231</v>
      </c>
      <c r="G3" s="15">
        <f>RATE(D3,C3,B3,E3)</f>
        <v>8.6542913956926662E-2</v>
      </c>
      <c r="H3" s="9"/>
      <c r="I3" s="9"/>
    </row>
    <row r="4" spans="1:9" ht="15" x14ac:dyDescent="0.25">
      <c r="A4" s="10">
        <v>2</v>
      </c>
      <c r="B4" s="12">
        <v>-200</v>
      </c>
      <c r="C4" s="12">
        <v>2</v>
      </c>
      <c r="D4" s="12">
        <v>8</v>
      </c>
      <c r="E4" s="12">
        <v>250</v>
      </c>
      <c r="F4" s="16">
        <f>B4-PV($B$7,D4,C4,E4)</f>
        <v>-30.727319542604249</v>
      </c>
      <c r="G4" s="15">
        <f>RATE(D4,C4,B4,E4)</f>
        <v>3.7385733970294592E-2</v>
      </c>
      <c r="H4" s="9"/>
      <c r="I4" s="9"/>
    </row>
    <row r="5" spans="1:9" ht="15" x14ac:dyDescent="0.25">
      <c r="A5" s="10">
        <v>3</v>
      </c>
      <c r="B5" s="13">
        <v>-50</v>
      </c>
      <c r="C5" s="13">
        <v>8</v>
      </c>
      <c r="D5" s="13">
        <v>10</v>
      </c>
      <c r="E5" s="13">
        <v>5</v>
      </c>
      <c r="F5" s="16">
        <f>B5-PV($B$7,D5,C5,E5)</f>
        <v>11.672670295893205</v>
      </c>
      <c r="G5" s="15">
        <f>RATE(D5,C5,B5,E5)</f>
        <v>0.10482095679861013</v>
      </c>
      <c r="H5" s="9"/>
      <c r="I5" s="9"/>
    </row>
    <row r="6" spans="1:9" ht="15" x14ac:dyDescent="0.25">
      <c r="A6" s="10">
        <v>4</v>
      </c>
      <c r="B6" s="13">
        <v>-70</v>
      </c>
      <c r="C6" s="13">
        <v>-1</v>
      </c>
      <c r="D6" s="13">
        <v>6</v>
      </c>
      <c r="E6" s="13">
        <v>160</v>
      </c>
      <c r="F6" s="16">
        <f>B6-PV($B$7,D6,C6,E6)</f>
        <v>37.876362144342821</v>
      </c>
      <c r="G6" s="15">
        <f>RATE(D6,C6,B6,E6)</f>
        <v>0.13735473502933801</v>
      </c>
      <c r="H6" s="9"/>
      <c r="I6" s="9"/>
    </row>
    <row r="7" spans="1:9" ht="15" x14ac:dyDescent="0.25">
      <c r="A7" s="9" t="s">
        <v>95</v>
      </c>
      <c r="B7" s="14">
        <v>0.06</v>
      </c>
      <c r="C7" s="9"/>
      <c r="D7" s="9"/>
      <c r="E7" s="9"/>
      <c r="F7" s="9"/>
      <c r="G7" s="9"/>
      <c r="H7" s="9"/>
      <c r="I7" s="9"/>
    </row>
    <row r="8" spans="1:9" ht="15" x14ac:dyDescent="0.25">
      <c r="A8" s="9"/>
      <c r="B8" s="14"/>
      <c r="C8" s="9"/>
      <c r="D8" s="9"/>
      <c r="E8" s="9"/>
      <c r="F8" s="9"/>
      <c r="G8" s="9"/>
      <c r="H8" s="9"/>
      <c r="I8" s="9"/>
    </row>
    <row r="9" spans="1:9" ht="15" x14ac:dyDescent="0.25">
      <c r="A9" s="9" t="s">
        <v>117</v>
      </c>
      <c r="B9" s="9"/>
      <c r="C9" s="9"/>
      <c r="D9" s="9"/>
      <c r="E9" s="9"/>
      <c r="F9" s="9"/>
      <c r="G9" s="9"/>
      <c r="H9" s="9"/>
      <c r="I9" s="9"/>
    </row>
    <row r="10" spans="1:9" ht="15" x14ac:dyDescent="0.25">
      <c r="A10" s="18" t="str">
        <f>A2</f>
        <v>Prosjekt</v>
      </c>
      <c r="B10" s="19" t="str">
        <f>B2</f>
        <v>Investering</v>
      </c>
      <c r="C10" s="19" t="str">
        <f>C2</f>
        <v>Annuitet</v>
      </c>
      <c r="D10" s="19" t="s">
        <v>123</v>
      </c>
      <c r="E10" s="19" t="str">
        <f>E2</f>
        <v>Restverdi</v>
      </c>
      <c r="F10" s="19" t="s">
        <v>98</v>
      </c>
      <c r="G10" s="20" t="s">
        <v>99</v>
      </c>
      <c r="H10" s="19" t="s">
        <v>100</v>
      </c>
      <c r="I10" s="19" t="s">
        <v>24</v>
      </c>
    </row>
    <row r="11" spans="1:9" ht="15" x14ac:dyDescent="0.25">
      <c r="A11" s="10">
        <f t="shared" ref="A11:E14" si="0">A3</f>
        <v>1</v>
      </c>
      <c r="B11" s="9">
        <f t="shared" si="0"/>
        <v>-100</v>
      </c>
      <c r="C11" s="9">
        <f t="shared" si="0"/>
        <v>12</v>
      </c>
      <c r="D11" s="9">
        <f t="shared" si="0"/>
        <v>10</v>
      </c>
      <c r="E11" s="9">
        <f t="shared" si="0"/>
        <v>50</v>
      </c>
      <c r="F11" s="13">
        <v>40</v>
      </c>
      <c r="G11" s="14">
        <v>0.1</v>
      </c>
      <c r="H11" s="16">
        <f>B11-F11*G11-PV($B$15,D11,C11,E11+F11*G11)</f>
        <v>14.474362570392785</v>
      </c>
      <c r="I11" s="15">
        <f>RATE(D11,C11,B11-F11*G11,E11+F11*G11)</f>
        <v>8.2605771234027722E-2</v>
      </c>
    </row>
    <row r="12" spans="1:9" ht="15" x14ac:dyDescent="0.25">
      <c r="A12" s="10">
        <f t="shared" si="0"/>
        <v>2</v>
      </c>
      <c r="B12" s="9">
        <f t="shared" si="0"/>
        <v>-200</v>
      </c>
      <c r="C12" s="9">
        <f t="shared" si="0"/>
        <v>2</v>
      </c>
      <c r="D12" s="9">
        <f t="shared" si="0"/>
        <v>8</v>
      </c>
      <c r="E12" s="9">
        <f t="shared" si="0"/>
        <v>250</v>
      </c>
      <c r="F12" s="13">
        <v>6</v>
      </c>
      <c r="G12" s="14">
        <v>0.05</v>
      </c>
      <c r="H12" s="16">
        <f>B12-F12*G12-PV($B$15,D12,C12,E12+F12*G12)</f>
        <v>-30.839095831201718</v>
      </c>
      <c r="I12" s="15">
        <f>RATE(D12,C12,B12-F12*G12,E12+F12*G12)</f>
        <v>3.7334706253514108E-2</v>
      </c>
    </row>
    <row r="13" spans="1:9" ht="15" x14ac:dyDescent="0.25">
      <c r="A13" s="10">
        <f t="shared" si="0"/>
        <v>3</v>
      </c>
      <c r="B13" s="9">
        <f t="shared" si="0"/>
        <v>-50</v>
      </c>
      <c r="C13" s="9">
        <f t="shared" si="0"/>
        <v>8</v>
      </c>
      <c r="D13" s="9">
        <f t="shared" si="0"/>
        <v>10</v>
      </c>
      <c r="E13" s="9">
        <f t="shared" si="0"/>
        <v>5</v>
      </c>
      <c r="F13" s="12">
        <v>20</v>
      </c>
      <c r="G13" s="21">
        <v>0.15</v>
      </c>
      <c r="H13" s="16">
        <f>B13-F13*G13-PV($B$15,D13,C13,E13+F13*G13)</f>
        <v>10.347854626638558</v>
      </c>
      <c r="I13" s="15">
        <f>RATE(D13,C13,B13-F13*G13,E13+F13*G13)</f>
        <v>9.6861880590836238E-2</v>
      </c>
    </row>
    <row r="14" spans="1:9" ht="15" x14ac:dyDescent="0.25">
      <c r="A14" s="10">
        <f t="shared" si="0"/>
        <v>4</v>
      </c>
      <c r="B14" s="9">
        <f t="shared" si="0"/>
        <v>-70</v>
      </c>
      <c r="C14" s="9">
        <f t="shared" si="0"/>
        <v>-1</v>
      </c>
      <c r="D14" s="9">
        <f t="shared" si="0"/>
        <v>6</v>
      </c>
      <c r="E14" s="9">
        <f t="shared" si="0"/>
        <v>160</v>
      </c>
      <c r="F14" s="13">
        <v>50</v>
      </c>
      <c r="G14" s="14">
        <v>0.2</v>
      </c>
      <c r="H14" s="16">
        <f>B14-F14*G14-PV($B$15,D14,C14,E14+F14*G14)</f>
        <v>34.925967548739578</v>
      </c>
      <c r="I14" s="15">
        <f>RATE(D14,C14,B14-F14*G14,E14+F14*G14)</f>
        <v>0.12454657015480049</v>
      </c>
    </row>
    <row r="15" spans="1:9" ht="15" x14ac:dyDescent="0.25">
      <c r="A15" s="9" t="str">
        <f>A7</f>
        <v>Kapitalkostnad</v>
      </c>
      <c r="B15" s="14">
        <f>B7</f>
        <v>0.06</v>
      </c>
      <c r="C15" s="9"/>
      <c r="D15" s="9"/>
      <c r="E15" s="9"/>
      <c r="F15" s="9"/>
      <c r="G15" s="9"/>
      <c r="H15" s="9"/>
      <c r="I15" s="9"/>
    </row>
    <row r="28" spans="10:10" ht="15" x14ac:dyDescent="0.25">
      <c r="J28" s="9"/>
    </row>
    <row r="36" spans="2:6" x14ac:dyDescent="0.2">
      <c r="B36" s="11" t="s">
        <v>0</v>
      </c>
    </row>
    <row r="42" spans="2:6" ht="15" x14ac:dyDescent="0.25">
      <c r="F42" s="9"/>
    </row>
  </sheetData>
  <printOptions headings="1" gridLines="1"/>
  <pageMargins left="0.75" right="0.75" top="1" bottom="1" header="0.5" footer="0.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
  <sheetViews>
    <sheetView workbookViewId="0"/>
  </sheetViews>
  <sheetFormatPr baseColWidth="10" defaultColWidth="8.83203125" defaultRowHeight="12.75" x14ac:dyDescent="0.2"/>
  <sheetData/>
  <phoneticPr fontId="2" type="noConversion"/>
  <pageMargins left="0.75" right="0.75" top="1" bottom="1" header="0.5" footer="0.5"/>
  <headerFooter alignWithMargins="0">
    <oddHeader>&amp;A</oddHeader>
    <oddFooter>Page &amp;P</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
  <sheetViews>
    <sheetView workbookViewId="0"/>
  </sheetViews>
  <sheetFormatPr baseColWidth="10" defaultColWidth="8.83203125" defaultRowHeight="12.75" x14ac:dyDescent="0.2"/>
  <sheetData/>
  <phoneticPr fontId="2" type="noConversion"/>
  <pageMargins left="0.75" right="0.75" top="1" bottom="1" header="0.5" footer="0.5"/>
  <headerFooter alignWithMargins="0">
    <oddHeader>&amp;A</oddHeader>
    <oddFooter>Page &amp;P</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
  <sheetViews>
    <sheetView workbookViewId="0"/>
  </sheetViews>
  <sheetFormatPr baseColWidth="10" defaultColWidth="8.83203125" defaultRowHeight="12.75" x14ac:dyDescent="0.2"/>
  <sheetData/>
  <phoneticPr fontId="2" type="noConversion"/>
  <pageMargins left="0.75" right="0.75" top="1" bottom="1" header="0.5" footer="0.5"/>
  <headerFooter alignWithMargins="0">
    <oddHeader>&amp;A</oddHeader>
    <oddFooter>Page &amp;P</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
  <sheetViews>
    <sheetView workbookViewId="0"/>
  </sheetViews>
  <sheetFormatPr baseColWidth="10" defaultColWidth="8.83203125" defaultRowHeight="12.75" x14ac:dyDescent="0.2"/>
  <sheetData/>
  <phoneticPr fontId="2" type="noConversion"/>
  <pageMargins left="0.75" right="0.75" top="1" bottom="1" header="0.5" footer="0.5"/>
  <headerFooter alignWithMargins="0">
    <oddHeader>&amp;A</oddHeader>
    <oddFooter>Page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42"/>
  <sheetViews>
    <sheetView zoomScaleNormal="100" workbookViewId="0"/>
  </sheetViews>
  <sheetFormatPr baseColWidth="10" defaultColWidth="13.33203125" defaultRowHeight="14.25" x14ac:dyDescent="0.2"/>
  <cols>
    <col min="1" max="1" width="17.5" style="54" customWidth="1"/>
    <col min="2" max="12" width="9.83203125" style="54" customWidth="1"/>
    <col min="13" max="16384" width="13.33203125" style="54"/>
  </cols>
  <sheetData>
    <row r="1" spans="1:12" ht="15" x14ac:dyDescent="0.25">
      <c r="A1" s="1"/>
      <c r="B1" s="123" t="s">
        <v>41</v>
      </c>
      <c r="C1" s="123"/>
      <c r="D1" s="123"/>
      <c r="E1" s="123"/>
      <c r="F1" s="123"/>
      <c r="G1" s="123"/>
      <c r="H1" s="123"/>
      <c r="I1" s="123"/>
      <c r="J1" s="123"/>
      <c r="K1" s="123"/>
      <c r="L1" s="123"/>
    </row>
    <row r="2" spans="1:12" ht="15" x14ac:dyDescent="0.25">
      <c r="A2" s="1"/>
      <c r="B2" s="3">
        <v>2020</v>
      </c>
      <c r="C2" s="1">
        <f>B2+1</f>
        <v>2021</v>
      </c>
      <c r="D2" s="1">
        <f t="shared" ref="D2:L2" si="0">C2+1</f>
        <v>2022</v>
      </c>
      <c r="E2" s="1">
        <f t="shared" si="0"/>
        <v>2023</v>
      </c>
      <c r="F2" s="1">
        <f t="shared" si="0"/>
        <v>2024</v>
      </c>
      <c r="G2" s="1">
        <f t="shared" si="0"/>
        <v>2025</v>
      </c>
      <c r="H2" s="1">
        <f t="shared" si="0"/>
        <v>2026</v>
      </c>
      <c r="I2" s="1">
        <f t="shared" si="0"/>
        <v>2027</v>
      </c>
      <c r="J2" s="1">
        <f t="shared" si="0"/>
        <v>2028</v>
      </c>
      <c r="K2" s="1">
        <f t="shared" si="0"/>
        <v>2029</v>
      </c>
      <c r="L2" s="1">
        <f t="shared" si="0"/>
        <v>2030</v>
      </c>
    </row>
    <row r="3" spans="1:12" ht="15" x14ac:dyDescent="0.25">
      <c r="A3" s="1" t="s">
        <v>124</v>
      </c>
      <c r="B3" s="30">
        <v>350</v>
      </c>
      <c r="C3" s="31">
        <v>310</v>
      </c>
      <c r="D3" s="31">
        <v>355</v>
      </c>
      <c r="E3" s="31">
        <v>315</v>
      </c>
      <c r="F3" s="31">
        <v>340</v>
      </c>
      <c r="G3" s="31">
        <v>320</v>
      </c>
      <c r="H3" s="31">
        <v>360</v>
      </c>
      <c r="I3" s="31">
        <v>310</v>
      </c>
      <c r="J3" s="31">
        <v>340</v>
      </c>
      <c r="K3" s="31">
        <v>330</v>
      </c>
      <c r="L3" s="31">
        <v>350</v>
      </c>
    </row>
    <row r="4" spans="1:12" ht="15" x14ac:dyDescent="0.25">
      <c r="A4" s="1" t="s">
        <v>125</v>
      </c>
      <c r="B4" s="1">
        <v>200</v>
      </c>
      <c r="C4" s="1">
        <v>250</v>
      </c>
      <c r="D4" s="1">
        <v>300</v>
      </c>
      <c r="E4" s="1">
        <v>290</v>
      </c>
      <c r="F4" s="1">
        <v>150</v>
      </c>
      <c r="G4" s="1">
        <v>400</v>
      </c>
      <c r="H4" s="1">
        <v>400</v>
      </c>
      <c r="I4" s="1">
        <v>430</v>
      </c>
      <c r="J4" s="1">
        <v>600</v>
      </c>
      <c r="K4" s="1">
        <v>200</v>
      </c>
      <c r="L4" s="1">
        <v>100</v>
      </c>
    </row>
    <row r="5" spans="1:12" ht="15" x14ac:dyDescent="0.25">
      <c r="A5" s="1"/>
      <c r="B5" s="1"/>
      <c r="C5" s="1"/>
      <c r="D5" s="1"/>
      <c r="E5" s="1"/>
      <c r="F5" s="1"/>
      <c r="G5" s="1"/>
      <c r="H5" s="1"/>
      <c r="I5" s="1"/>
      <c r="J5" s="1"/>
      <c r="K5" s="1"/>
      <c r="L5" s="1"/>
    </row>
    <row r="6" spans="1:12" ht="15" x14ac:dyDescent="0.25">
      <c r="A6" s="1"/>
      <c r="B6" s="1"/>
      <c r="C6" s="1"/>
      <c r="D6" s="1"/>
      <c r="E6" s="1"/>
      <c r="F6" s="1"/>
      <c r="G6" s="1"/>
      <c r="H6" s="1"/>
      <c r="I6" s="1"/>
      <c r="J6" s="1"/>
      <c r="K6" s="1"/>
      <c r="L6" s="1"/>
    </row>
    <row r="7" spans="1:12" ht="15" x14ac:dyDescent="0.25">
      <c r="A7" s="1"/>
      <c r="B7" s="1"/>
      <c r="C7" s="1"/>
      <c r="D7" s="1"/>
      <c r="E7" s="1"/>
      <c r="F7" s="1"/>
      <c r="G7" s="1"/>
      <c r="H7" s="1"/>
      <c r="I7" s="1"/>
      <c r="J7" s="1"/>
      <c r="K7" s="1"/>
      <c r="L7" s="1"/>
    </row>
    <row r="8" spans="1:12" ht="15" x14ac:dyDescent="0.25">
      <c r="A8" s="1"/>
      <c r="B8" s="1"/>
      <c r="C8" s="1"/>
      <c r="D8" s="1"/>
      <c r="E8" s="1"/>
      <c r="F8" s="1"/>
      <c r="G8" s="1"/>
      <c r="H8" s="1"/>
      <c r="I8" s="1"/>
      <c r="J8" s="1"/>
      <c r="K8" s="1"/>
      <c r="L8" s="1"/>
    </row>
    <row r="9" spans="1:12" ht="15" x14ac:dyDescent="0.25">
      <c r="A9" s="1"/>
      <c r="B9" s="1"/>
      <c r="C9" s="1"/>
      <c r="D9" s="1"/>
      <c r="E9" s="1"/>
      <c r="F9" s="1"/>
      <c r="G9" s="1"/>
      <c r="H9" s="1"/>
      <c r="I9" s="1"/>
      <c r="J9" s="1"/>
      <c r="K9" s="1"/>
      <c r="L9" s="1"/>
    </row>
    <row r="10" spans="1:12" ht="15" x14ac:dyDescent="0.25">
      <c r="A10" s="1"/>
      <c r="B10" s="1"/>
      <c r="C10" s="1"/>
      <c r="D10" s="1"/>
      <c r="E10" s="1"/>
      <c r="F10" s="1"/>
      <c r="G10" s="1"/>
      <c r="H10" s="1"/>
      <c r="I10" s="1"/>
      <c r="J10" s="1"/>
      <c r="K10" s="1"/>
      <c r="L10" s="1"/>
    </row>
    <row r="11" spans="1:12" ht="15" x14ac:dyDescent="0.25">
      <c r="A11" s="1"/>
      <c r="B11" s="1"/>
      <c r="C11" s="1"/>
      <c r="D11" s="1"/>
      <c r="E11" s="1"/>
      <c r="F11" s="1"/>
      <c r="G11" s="1"/>
      <c r="H11" s="1"/>
      <c r="I11" s="1"/>
      <c r="J11" s="1"/>
      <c r="K11" s="1"/>
      <c r="L11" s="1"/>
    </row>
    <row r="12" spans="1:12" ht="15" x14ac:dyDescent="0.25">
      <c r="A12" s="1"/>
      <c r="B12" s="1"/>
      <c r="C12" s="1"/>
      <c r="D12" s="1"/>
      <c r="E12" s="1"/>
      <c r="F12" s="1"/>
      <c r="G12" s="1"/>
      <c r="H12" s="1"/>
      <c r="I12" s="1"/>
      <c r="J12" s="1"/>
      <c r="K12" s="1"/>
      <c r="L12" s="1"/>
    </row>
    <row r="13" spans="1:12" ht="15" x14ac:dyDescent="0.25">
      <c r="A13" s="1"/>
      <c r="B13" s="1"/>
      <c r="C13" s="1"/>
      <c r="D13" s="1"/>
      <c r="E13" s="1"/>
      <c r="F13" s="1"/>
      <c r="G13" s="1"/>
      <c r="H13" s="1"/>
      <c r="I13" s="1"/>
      <c r="J13" s="1"/>
      <c r="K13" s="1"/>
      <c r="L13" s="1"/>
    </row>
    <row r="14" spans="1:12" ht="15" x14ac:dyDescent="0.25">
      <c r="A14" s="1"/>
      <c r="B14" s="1"/>
      <c r="C14" s="1"/>
      <c r="D14" s="1"/>
      <c r="E14" s="1"/>
      <c r="F14" s="1"/>
      <c r="G14" s="1"/>
      <c r="H14" s="1"/>
      <c r="I14" s="1"/>
      <c r="J14" s="1"/>
      <c r="K14" s="1"/>
      <c r="L14" s="1"/>
    </row>
    <row r="15" spans="1:12" ht="15" x14ac:dyDescent="0.25">
      <c r="A15" s="1"/>
      <c r="B15" s="1"/>
      <c r="C15" s="1"/>
      <c r="D15" s="1"/>
      <c r="E15" s="1"/>
      <c r="F15" s="1"/>
      <c r="G15" s="1"/>
      <c r="H15" s="1"/>
      <c r="I15" s="1"/>
      <c r="J15" s="1"/>
      <c r="K15" s="1"/>
      <c r="L15" s="1"/>
    </row>
    <row r="16" spans="1:12" ht="15" x14ac:dyDescent="0.25">
      <c r="A16" s="1"/>
      <c r="B16" s="1"/>
      <c r="C16" s="1"/>
      <c r="D16" s="1"/>
      <c r="E16" s="1"/>
      <c r="F16" s="1"/>
      <c r="G16" s="1"/>
      <c r="H16" s="1"/>
      <c r="I16" s="1"/>
      <c r="J16" s="1"/>
      <c r="K16" s="1"/>
      <c r="L16" s="1"/>
    </row>
    <row r="17" spans="1:12" ht="15" x14ac:dyDescent="0.25">
      <c r="A17" s="1"/>
      <c r="B17" s="1"/>
      <c r="C17" s="1"/>
      <c r="D17" s="1"/>
      <c r="E17" s="1"/>
      <c r="F17" s="1"/>
      <c r="G17" s="1"/>
      <c r="H17" s="1"/>
      <c r="I17" s="1"/>
      <c r="J17" s="1"/>
      <c r="K17" s="1"/>
      <c r="L17" s="1"/>
    </row>
    <row r="18" spans="1:12" ht="15" x14ac:dyDescent="0.25">
      <c r="A18" s="1"/>
      <c r="B18" s="1"/>
      <c r="C18" s="1"/>
      <c r="D18" s="1"/>
      <c r="E18" s="1"/>
      <c r="F18" s="1"/>
      <c r="G18" s="1"/>
      <c r="H18" s="1"/>
      <c r="I18" s="1"/>
      <c r="J18" s="1"/>
      <c r="K18" s="1"/>
      <c r="L18" s="1"/>
    </row>
    <row r="19" spans="1:12" ht="15" x14ac:dyDescent="0.25">
      <c r="A19" s="1"/>
      <c r="B19" s="1"/>
      <c r="C19" s="1"/>
      <c r="D19" s="1"/>
      <c r="E19" s="1"/>
      <c r="F19" s="1"/>
      <c r="G19" s="1"/>
      <c r="H19" s="1"/>
      <c r="I19" s="1"/>
      <c r="J19" s="1"/>
      <c r="K19" s="1"/>
      <c r="L19" s="1"/>
    </row>
    <row r="20" spans="1:12" ht="15" x14ac:dyDescent="0.25">
      <c r="A20" s="1"/>
      <c r="B20" s="1"/>
      <c r="C20" s="1"/>
      <c r="D20" s="1"/>
      <c r="E20" s="1"/>
      <c r="F20" s="1"/>
      <c r="G20" s="1"/>
      <c r="H20" s="1"/>
      <c r="I20" s="1"/>
      <c r="J20" s="1"/>
      <c r="K20" s="1"/>
      <c r="L20" s="1"/>
    </row>
    <row r="21" spans="1:12" ht="15" x14ac:dyDescent="0.25">
      <c r="A21" s="1"/>
      <c r="B21" s="1"/>
      <c r="C21" s="1"/>
      <c r="D21" s="1"/>
      <c r="E21" s="1"/>
      <c r="F21" s="1"/>
      <c r="G21" s="1"/>
      <c r="H21" s="1"/>
      <c r="I21" s="1"/>
      <c r="J21" s="1"/>
      <c r="K21" s="1"/>
      <c r="L21" s="1"/>
    </row>
    <row r="22" spans="1:12" ht="15" x14ac:dyDescent="0.25">
      <c r="A22" s="1"/>
      <c r="B22" s="1"/>
      <c r="C22" s="1"/>
      <c r="D22" s="1"/>
      <c r="E22" s="1"/>
      <c r="F22" s="1"/>
      <c r="G22" s="1"/>
      <c r="H22" s="1"/>
      <c r="I22" s="1"/>
      <c r="J22" s="1"/>
      <c r="K22" s="1"/>
      <c r="L22" s="1"/>
    </row>
    <row r="23" spans="1:12" ht="15" x14ac:dyDescent="0.25">
      <c r="A23" s="1"/>
      <c r="B23" s="1"/>
      <c r="C23" s="1"/>
      <c r="D23" s="1"/>
      <c r="E23" s="1"/>
      <c r="F23" s="1"/>
      <c r="G23" s="1"/>
      <c r="H23" s="1"/>
      <c r="I23" s="1"/>
      <c r="J23" s="1"/>
      <c r="K23" s="1"/>
      <c r="L23" s="1"/>
    </row>
    <row r="24" spans="1:12" ht="15" x14ac:dyDescent="0.25">
      <c r="A24" s="1"/>
      <c r="B24" s="1"/>
      <c r="C24" s="1"/>
      <c r="D24" s="1"/>
      <c r="E24" s="1"/>
      <c r="F24" s="1"/>
      <c r="G24" s="1"/>
      <c r="H24" s="1"/>
      <c r="I24" s="1"/>
      <c r="J24" s="1"/>
      <c r="K24" s="1"/>
      <c r="L24" s="1"/>
    </row>
    <row r="25" spans="1:12" ht="15" x14ac:dyDescent="0.25">
      <c r="A25" s="1"/>
      <c r="B25" s="1"/>
      <c r="C25" s="1"/>
      <c r="D25" s="1"/>
      <c r="E25" s="1"/>
      <c r="F25" s="1"/>
      <c r="G25" s="1"/>
      <c r="H25" s="1"/>
      <c r="I25" s="1"/>
      <c r="J25" s="1"/>
      <c r="K25" s="1"/>
      <c r="L25" s="1"/>
    </row>
    <row r="26" spans="1:12" ht="15" x14ac:dyDescent="0.25">
      <c r="A26" s="1"/>
      <c r="B26" s="1"/>
      <c r="C26" s="1"/>
      <c r="D26" s="1"/>
      <c r="E26" s="1"/>
      <c r="F26" s="1"/>
      <c r="G26" s="1"/>
      <c r="H26" s="1"/>
      <c r="I26" s="1"/>
      <c r="J26" s="1"/>
      <c r="K26" s="1"/>
      <c r="L26" s="1"/>
    </row>
    <row r="27" spans="1:12" ht="15" x14ac:dyDescent="0.25">
      <c r="A27" s="1"/>
      <c r="B27" s="1"/>
      <c r="C27" s="1"/>
      <c r="D27" s="1"/>
      <c r="E27" s="1"/>
      <c r="F27" s="1"/>
      <c r="G27" s="1"/>
      <c r="H27" s="1"/>
      <c r="I27" s="1"/>
      <c r="J27" s="1"/>
      <c r="K27" s="1"/>
      <c r="L27" s="1"/>
    </row>
    <row r="28" spans="1:12" ht="15" x14ac:dyDescent="0.25">
      <c r="A28" s="1"/>
      <c r="B28" s="1"/>
      <c r="C28" s="1"/>
      <c r="D28" s="1"/>
      <c r="E28" s="1"/>
      <c r="F28" s="1"/>
      <c r="G28" s="1"/>
      <c r="H28" s="1"/>
      <c r="I28" s="1"/>
      <c r="J28" s="1"/>
      <c r="K28" s="1"/>
      <c r="L28" s="1"/>
    </row>
    <row r="29" spans="1:12" ht="15" x14ac:dyDescent="0.25">
      <c r="A29" s="1"/>
      <c r="B29" s="1"/>
      <c r="C29" s="1"/>
      <c r="D29" s="1"/>
      <c r="E29" s="1"/>
      <c r="F29" s="1"/>
      <c r="G29" s="1"/>
      <c r="H29" s="1"/>
      <c r="I29" s="1"/>
      <c r="J29" s="1"/>
      <c r="K29" s="1"/>
      <c r="L29" s="1"/>
    </row>
    <row r="30" spans="1:12" ht="15" x14ac:dyDescent="0.25">
      <c r="A30" s="1"/>
      <c r="B30" s="1"/>
      <c r="C30" s="1"/>
      <c r="D30" s="1"/>
      <c r="E30" s="1"/>
      <c r="F30" s="1"/>
      <c r="G30" s="1"/>
      <c r="H30" s="1"/>
      <c r="I30" s="1"/>
      <c r="J30" s="1"/>
      <c r="K30" s="1"/>
      <c r="L30" s="1"/>
    </row>
    <row r="36" spans="2:6" x14ac:dyDescent="0.2">
      <c r="B36" s="54" t="s">
        <v>0</v>
      </c>
    </row>
    <row r="42" spans="2:6" ht="15" x14ac:dyDescent="0.25">
      <c r="F42" s="9"/>
    </row>
  </sheetData>
  <mergeCells count="1">
    <mergeCell ref="B1:L1"/>
  </mergeCells>
  <printOptions headings="1" gridLines="1"/>
  <pageMargins left="0.75" right="0.75" top="1" bottom="1" header="0.5" footer="0.5"/>
  <pageSetup paperSize="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54"/>
  <sheetViews>
    <sheetView zoomScaleNormal="100" workbookViewId="0"/>
  </sheetViews>
  <sheetFormatPr baseColWidth="10" defaultColWidth="9.33203125" defaultRowHeight="15" outlineLevelRow="1" x14ac:dyDescent="0.25"/>
  <cols>
    <col min="1" max="1" width="24.83203125" style="9" customWidth="1"/>
    <col min="2" max="5" width="9.83203125" style="9" customWidth="1"/>
    <col min="6" max="6" width="12.5" style="9" customWidth="1"/>
    <col min="7" max="8" width="9.83203125" style="9" customWidth="1"/>
    <col min="9" max="9" width="13.33203125" style="9" customWidth="1"/>
    <col min="10" max="256" width="12" style="9" customWidth="1"/>
    <col min="257" max="16384" width="9.33203125" style="9"/>
  </cols>
  <sheetData>
    <row r="1" spans="1:11" ht="12.95" customHeight="1" x14ac:dyDescent="0.25">
      <c r="A1" s="9" t="s">
        <v>104</v>
      </c>
      <c r="C1" s="124"/>
      <c r="D1" s="124"/>
      <c r="E1" s="124"/>
      <c r="F1" s="124"/>
      <c r="G1" s="124"/>
    </row>
    <row r="2" spans="1:11" x14ac:dyDescent="0.25">
      <c r="D2" s="51"/>
      <c r="E2" s="51"/>
      <c r="F2" s="51"/>
      <c r="G2" s="51"/>
      <c r="H2" s="51"/>
    </row>
    <row r="3" spans="1:11" x14ac:dyDescent="0.25">
      <c r="A3" s="35"/>
      <c r="B3" s="125" t="s">
        <v>41</v>
      </c>
      <c r="C3" s="125"/>
      <c r="D3" s="125"/>
      <c r="E3" s="125"/>
      <c r="F3" s="51"/>
      <c r="G3" s="51"/>
      <c r="H3" s="51"/>
    </row>
    <row r="4" spans="1:11" x14ac:dyDescent="0.25">
      <c r="A4" s="19"/>
      <c r="B4" s="91">
        <v>2019</v>
      </c>
      <c r="C4" s="19">
        <f>B4+1</f>
        <v>2020</v>
      </c>
      <c r="D4" s="19">
        <f>C4+1</f>
        <v>2021</v>
      </c>
      <c r="E4" s="19">
        <f>D4+1</f>
        <v>2022</v>
      </c>
      <c r="F4" s="39" t="s">
        <v>24</v>
      </c>
      <c r="G4" s="19"/>
      <c r="H4" s="19"/>
    </row>
    <row r="5" spans="1:11" outlineLevel="1" x14ac:dyDescent="0.25">
      <c r="A5" s="41" t="s">
        <v>105</v>
      </c>
      <c r="B5" s="16">
        <v>-10600</v>
      </c>
      <c r="C5" s="16">
        <v>254</v>
      </c>
      <c r="D5" s="16">
        <v>7222</v>
      </c>
      <c r="E5" s="16">
        <v>5681</v>
      </c>
      <c r="F5" s="40">
        <f>IRR(B5:E5)</f>
        <v>9.4226988225559527E-2</v>
      </c>
      <c r="G5" s="12"/>
      <c r="H5" s="12"/>
    </row>
    <row r="6" spans="1:11" ht="12.75" customHeight="1" outlineLevel="1" x14ac:dyDescent="0.25">
      <c r="A6" s="43" t="s">
        <v>132</v>
      </c>
      <c r="B6" s="16">
        <v>-10600</v>
      </c>
      <c r="C6" s="16">
        <v>60</v>
      </c>
      <c r="D6" s="16">
        <v>7125</v>
      </c>
      <c r="E6" s="16">
        <v>5971</v>
      </c>
      <c r="F6" s="40">
        <f>IRR(B6:E6)</f>
        <v>9.2652998850491386E-2</v>
      </c>
      <c r="G6" s="12"/>
      <c r="H6" s="12"/>
    </row>
    <row r="7" spans="1:11" ht="12.75" customHeight="1" x14ac:dyDescent="0.25">
      <c r="A7" s="43" t="s">
        <v>106</v>
      </c>
      <c r="B7" s="16">
        <f>B5-B6</f>
        <v>0</v>
      </c>
      <c r="C7" s="16">
        <f t="shared" ref="C7:E7" si="0">C5-C6</f>
        <v>194</v>
      </c>
      <c r="D7" s="16">
        <f t="shared" si="0"/>
        <v>97</v>
      </c>
      <c r="E7" s="16">
        <f t="shared" si="0"/>
        <v>-290</v>
      </c>
      <c r="F7" s="96">
        <f>IRR(B7:E7)</f>
        <v>-2.0635589803693621E-3</v>
      </c>
      <c r="G7" s="16"/>
      <c r="H7" s="16"/>
    </row>
    <row r="9" spans="1:11" x14ac:dyDescent="0.25">
      <c r="A9" s="35" t="s">
        <v>74</v>
      </c>
      <c r="B9" s="125" t="s">
        <v>95</v>
      </c>
      <c r="C9" s="125"/>
      <c r="D9" s="125"/>
      <c r="E9" s="125"/>
      <c r="F9" s="125"/>
      <c r="G9" s="125"/>
      <c r="H9" s="125"/>
    </row>
    <row r="10" spans="1:11" x14ac:dyDescent="0.25">
      <c r="A10" s="36" t="s">
        <v>96</v>
      </c>
      <c r="B10" s="44">
        <f>C10-C10</f>
        <v>0</v>
      </c>
      <c r="C10" s="45">
        <v>0.05</v>
      </c>
      <c r="D10" s="46">
        <f>C10+$C$10</f>
        <v>0.1</v>
      </c>
      <c r="E10" s="46">
        <f>D10+$C$10</f>
        <v>0.15000000000000002</v>
      </c>
      <c r="F10" s="46">
        <f>E10+$C$10</f>
        <v>0.2</v>
      </c>
      <c r="G10" s="46">
        <f>F10+$C$10</f>
        <v>0.25</v>
      </c>
      <c r="H10" s="46">
        <f>G10+$C$10</f>
        <v>0.3</v>
      </c>
    </row>
    <row r="11" spans="1:11" hidden="1" outlineLevel="1" x14ac:dyDescent="0.25">
      <c r="A11" s="41" t="str">
        <f>A5</f>
        <v>Saldosats 30 %</v>
      </c>
      <c r="B11" s="47">
        <f>NPV(B10,$B5:$H$5)*(1+B10)</f>
        <v>2557.0942269882257</v>
      </c>
      <c r="C11" s="47">
        <f>NPV(C10,$B5:$H$5)*(1+C10)</f>
        <v>1100.0105733625178</v>
      </c>
      <c r="D11" s="47">
        <f>NPV(D10,$B5:$H$5)*(1+D10)</f>
        <v>-132.21212554591898</v>
      </c>
      <c r="E11" s="47">
        <f>NPV(E10,$B5:$H$5)*(1+E10)</f>
        <v>-1182.8572785327497</v>
      </c>
      <c r="F11" s="47">
        <f>NPV(F10,$B5:$H$5)*(1+F10)</f>
        <v>-2085.3943735589191</v>
      </c>
      <c r="G11" s="47">
        <f>NPV(G10,$B5:$H$5)*(1+G10)</f>
        <v>-2866.0094046256222</v>
      </c>
      <c r="H11" s="47">
        <f>NPV(H10,$B5:$H$5)*(1+H10)</f>
        <v>-3545.410795494478</v>
      </c>
    </row>
    <row r="12" spans="1:11" hidden="1" outlineLevel="1" x14ac:dyDescent="0.25">
      <c r="A12" s="41" t="str">
        <f>A6</f>
        <v>Saldosats 20 %</v>
      </c>
      <c r="B12" s="47">
        <f>NPV(B10,$B$6:$H6)*(1+B10)</f>
        <v>2556.0926529988506</v>
      </c>
      <c r="C12" s="47">
        <f>NPV(C10,$B$6:$H6)*(1+C10)</f>
        <v>1077.7784178393565</v>
      </c>
      <c r="D12" s="47">
        <f>NPV(D10,$B$6:$H6)*(1+D10)</f>
        <v>-170.86083396021672</v>
      </c>
      <c r="E12" s="47">
        <f>NPV(E10,$B$6:$H6)*(1+E10)</f>
        <v>-1234.2200589627087</v>
      </c>
      <c r="F12" s="47">
        <f>NPV(F10,$B$6:$H6)*(1+F10)</f>
        <v>-2146.5988363238566</v>
      </c>
      <c r="G12" s="47">
        <f>NPV(G10,$B$6:$H6)*(1+G10)</f>
        <v>-2934.8100493316706</v>
      </c>
      <c r="H12" s="47">
        <f>NPV(H10,$B$6:$H6)*(1+H10)</f>
        <v>-3620.0403861913637</v>
      </c>
    </row>
    <row r="13" spans="1:11" collapsed="1" x14ac:dyDescent="0.25">
      <c r="A13" s="41" t="str">
        <f>A7</f>
        <v>Differansekontantstrøm</v>
      </c>
      <c r="B13" s="47">
        <f>NPV(B10,$B$7:$H7)*(1+B10)</f>
        <v>0.99793644101963064</v>
      </c>
      <c r="C13" s="47">
        <f>NPV(C10,$B$7:$H7)*(1+C10)</f>
        <v>22.229162903127531</v>
      </c>
      <c r="D13" s="47">
        <f>NPV(D10,$B$7:$H7)*(1+D10)</f>
        <v>38.64622391982769</v>
      </c>
      <c r="E13" s="47">
        <f>NPV(E10,$B$7:$H7)*(1+E10)</f>
        <v>51.360700649880236</v>
      </c>
      <c r="F13" s="47">
        <f>NPV(F10,$B$7:$H7)*(1+F10)</f>
        <v>61.202708546016424</v>
      </c>
      <c r="G13" s="47">
        <f>NPV(G10,$B$7:$H7)*(1+G10)</f>
        <v>68.799154766241628</v>
      </c>
      <c r="H13" s="47">
        <f>NPV(H10,$B$7:$H7)*(1+H10)</f>
        <v>74.628317090094768</v>
      </c>
    </row>
    <row r="15" spans="1:11" x14ac:dyDescent="0.25">
      <c r="K15" s="49"/>
    </row>
    <row r="26" spans="2:7" x14ac:dyDescent="0.25">
      <c r="B26" s="49">
        <f t="shared" ref="B26:G26" si="1">C10*100</f>
        <v>5</v>
      </c>
      <c r="C26" s="49">
        <f t="shared" si="1"/>
        <v>10</v>
      </c>
      <c r="D26" s="49">
        <f t="shared" si="1"/>
        <v>15.000000000000002</v>
      </c>
      <c r="E26" s="49">
        <f t="shared" si="1"/>
        <v>20</v>
      </c>
      <c r="F26" s="49">
        <f t="shared" si="1"/>
        <v>25</v>
      </c>
      <c r="G26" s="49">
        <f t="shared" si="1"/>
        <v>30</v>
      </c>
    </row>
    <row r="34" spans="1:2" x14ac:dyDescent="0.25">
      <c r="B34" s="50"/>
    </row>
    <row r="38" spans="1:2" x14ac:dyDescent="0.25">
      <c r="A38" s="41"/>
    </row>
    <row r="54" spans="2:8" x14ac:dyDescent="0.25">
      <c r="B54" s="14"/>
      <c r="C54" s="15"/>
      <c r="D54" s="15"/>
      <c r="E54" s="15"/>
      <c r="F54" s="15"/>
      <c r="G54" s="15"/>
      <c r="H54" s="15"/>
    </row>
  </sheetData>
  <mergeCells count="3">
    <mergeCell ref="C1:G1"/>
    <mergeCell ref="B9:H9"/>
    <mergeCell ref="B3:E3"/>
  </mergeCells>
  <printOptions gridLines="1"/>
  <pageMargins left="0.75" right="0.75" top="1" bottom="1" header="0.5" footer="0.5"/>
  <pageSetup paperSize="9" orientation="portrait"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K54"/>
  <sheetViews>
    <sheetView tabSelected="1" zoomScaleNormal="100" workbookViewId="0"/>
  </sheetViews>
  <sheetFormatPr baseColWidth="10" defaultColWidth="9.33203125" defaultRowHeight="15" outlineLevelRow="1" outlineLevelCol="2" x14ac:dyDescent="0.25"/>
  <cols>
    <col min="1" max="1" width="24.83203125" style="9" customWidth="1"/>
    <col min="2" max="5" width="13.5" style="9" customWidth="1"/>
    <col min="6" max="6" width="11.1640625" style="9" customWidth="1" outlineLevel="2"/>
    <col min="7" max="7" width="11.83203125" style="9" customWidth="1" outlineLevel="2"/>
    <col min="8" max="8" width="13" style="9" customWidth="1" outlineLevel="2"/>
    <col min="9" max="10" width="9.1640625" style="9" customWidth="1" outlineLevel="1"/>
    <col min="11" max="11" width="13.33203125" style="9" customWidth="1"/>
    <col min="12" max="14" width="12" style="9" customWidth="1"/>
    <col min="15" max="15" width="27.1640625" style="9" customWidth="1"/>
    <col min="16" max="16" width="16.1640625" style="9" customWidth="1"/>
    <col min="17" max="17" width="14.33203125" style="9" customWidth="1"/>
    <col min="18" max="18" width="16" style="9" customWidth="1"/>
    <col min="19" max="19" width="17" style="9" customWidth="1"/>
    <col min="20" max="20" width="10.6640625" style="9" bestFit="1" customWidth="1"/>
    <col min="21" max="256" width="12" style="9" customWidth="1"/>
    <col min="257" max="16384" width="9.33203125" style="9"/>
  </cols>
  <sheetData>
    <row r="1" spans="1:37" ht="19.5" customHeight="1" x14ac:dyDescent="0.25">
      <c r="A1" s="9" t="s">
        <v>104</v>
      </c>
      <c r="C1" s="124"/>
      <c r="D1" s="124"/>
      <c r="E1" s="124"/>
      <c r="F1" s="124"/>
      <c r="G1" s="124"/>
    </row>
    <row r="2" spans="1:37" x14ac:dyDescent="0.25">
      <c r="D2" s="10"/>
      <c r="E2" s="10"/>
      <c r="F2" s="10"/>
      <c r="G2" s="10"/>
      <c r="H2" s="10"/>
    </row>
    <row r="3" spans="1:37" x14ac:dyDescent="0.25">
      <c r="A3" s="35"/>
      <c r="B3" s="125" t="s">
        <v>41</v>
      </c>
      <c r="C3" s="125"/>
      <c r="D3" s="125"/>
      <c r="E3" s="125"/>
      <c r="F3" s="10"/>
      <c r="G3" s="10"/>
      <c r="H3" s="10"/>
      <c r="O3" s="36"/>
      <c r="P3" s="37"/>
      <c r="Q3" s="36"/>
      <c r="R3" s="36"/>
      <c r="S3" s="36"/>
      <c r="T3" s="36"/>
      <c r="U3" s="36"/>
      <c r="V3" s="36"/>
      <c r="W3" s="36"/>
      <c r="X3" s="36"/>
      <c r="Y3" s="36"/>
      <c r="Z3" s="36"/>
      <c r="AA3" s="36"/>
      <c r="AB3" s="36"/>
      <c r="AC3" s="36"/>
      <c r="AD3" s="36"/>
      <c r="AE3" s="36"/>
      <c r="AF3" s="36"/>
      <c r="AG3" s="36"/>
      <c r="AH3" s="36"/>
      <c r="AI3" s="36"/>
      <c r="AJ3" s="36"/>
      <c r="AK3" s="38"/>
    </row>
    <row r="4" spans="1:37" x14ac:dyDescent="0.25">
      <c r="A4" s="19"/>
      <c r="B4" s="19">
        <v>2019</v>
      </c>
      <c r="C4" s="19">
        <f>B4+1</f>
        <v>2020</v>
      </c>
      <c r="D4" s="19">
        <f>C4+1</f>
        <v>2021</v>
      </c>
      <c r="E4" s="19">
        <f>D4+1</f>
        <v>2022</v>
      </c>
      <c r="F4" s="19" t="s">
        <v>24</v>
      </c>
      <c r="G4" s="19"/>
      <c r="H4" s="19"/>
      <c r="I4" s="19"/>
      <c r="J4" s="19"/>
      <c r="K4" s="39"/>
      <c r="O4" s="36"/>
      <c r="P4" s="36">
        <v>2015</v>
      </c>
      <c r="Q4" s="36">
        <f>P4+1</f>
        <v>2016</v>
      </c>
      <c r="R4" s="36">
        <f>Q4+1</f>
        <v>2017</v>
      </c>
      <c r="S4" s="36">
        <f>R4+1</f>
        <v>2018</v>
      </c>
      <c r="T4" s="16" t="s">
        <v>14</v>
      </c>
      <c r="U4" s="12"/>
      <c r="V4" s="12"/>
      <c r="W4" s="16"/>
      <c r="X4" s="16"/>
      <c r="Y4" s="16"/>
      <c r="AK4" s="40"/>
    </row>
    <row r="5" spans="1:37" outlineLevel="1" x14ac:dyDescent="0.25">
      <c r="A5" s="41" t="s">
        <v>108</v>
      </c>
      <c r="B5" s="16">
        <v>-12400</v>
      </c>
      <c r="C5" s="16">
        <v>-1629</v>
      </c>
      <c r="D5" s="16">
        <v>9116</v>
      </c>
      <c r="E5" s="16">
        <v>7469</v>
      </c>
      <c r="F5" s="42">
        <f>IRR(B5:E5)</f>
        <v>7.4510259214656704E-2</v>
      </c>
      <c r="G5" s="16"/>
      <c r="H5" s="16"/>
      <c r="I5" s="16"/>
      <c r="J5" s="16"/>
      <c r="K5" s="40"/>
      <c r="O5" s="41" t="s">
        <v>107</v>
      </c>
      <c r="P5" s="16">
        <v>-10600000</v>
      </c>
      <c r="Q5" s="16">
        <v>60650</v>
      </c>
      <c r="R5" s="16">
        <v>6886383</v>
      </c>
      <c r="S5" s="16">
        <v>6045392</v>
      </c>
      <c r="T5" s="16"/>
      <c r="U5" s="12"/>
      <c r="V5" s="12"/>
      <c r="W5" s="16"/>
      <c r="X5" s="16"/>
      <c r="Y5" s="16"/>
      <c r="AK5" s="40"/>
    </row>
    <row r="6" spans="1:37" ht="12.75" customHeight="1" outlineLevel="1" x14ac:dyDescent="0.25">
      <c r="A6" s="92" t="s">
        <v>107</v>
      </c>
      <c r="B6" s="93">
        <v>-10600</v>
      </c>
      <c r="C6" s="93">
        <v>60</v>
      </c>
      <c r="D6" s="93">
        <v>7125</v>
      </c>
      <c r="E6" s="93">
        <v>5971</v>
      </c>
      <c r="F6" s="94">
        <f>IRR(B6:E6)</f>
        <v>9.2652998850491386E-2</v>
      </c>
      <c r="G6" s="16"/>
      <c r="H6" s="16"/>
      <c r="I6" s="16"/>
      <c r="J6" s="16"/>
      <c r="K6" s="40"/>
      <c r="O6" s="43" t="s">
        <v>108</v>
      </c>
      <c r="P6" s="16">
        <v>-12400000</v>
      </c>
      <c r="Q6" s="16">
        <v>-1627750</v>
      </c>
      <c r="R6" s="16">
        <v>8876607</v>
      </c>
      <c r="S6" s="16">
        <v>7543568</v>
      </c>
      <c r="T6" s="16"/>
      <c r="U6" s="16"/>
      <c r="V6" s="16"/>
      <c r="W6" s="16"/>
      <c r="X6" s="16"/>
      <c r="Y6" s="16"/>
      <c r="AK6" s="40"/>
    </row>
    <row r="7" spans="1:37" ht="12.75" customHeight="1" x14ac:dyDescent="0.25">
      <c r="A7" s="43" t="s">
        <v>106</v>
      </c>
      <c r="B7" s="16">
        <f>B5-B6</f>
        <v>-1800</v>
      </c>
      <c r="C7" s="16">
        <f t="shared" ref="C7:E7" si="0">C5-C6</f>
        <v>-1689</v>
      </c>
      <c r="D7" s="16">
        <f t="shared" si="0"/>
        <v>1991</v>
      </c>
      <c r="E7" s="16">
        <f t="shared" si="0"/>
        <v>1498</v>
      </c>
      <c r="F7" s="42">
        <f>IRR(B7:E7)</f>
        <v>4.4408920985006262E-14</v>
      </c>
      <c r="G7" s="16"/>
      <c r="H7" s="16"/>
      <c r="I7" s="16"/>
      <c r="J7" s="16"/>
      <c r="K7" s="40"/>
      <c r="O7" s="43" t="s">
        <v>106</v>
      </c>
      <c r="P7" s="16">
        <f>P6-P5</f>
        <v>-1800000</v>
      </c>
      <c r="Q7" s="16">
        <f>Q6-Q5</f>
        <v>-1688400</v>
      </c>
      <c r="R7" s="16">
        <f>R6-R5</f>
        <v>1990224</v>
      </c>
      <c r="S7" s="16">
        <f>S6-S5</f>
        <v>1498176</v>
      </c>
      <c r="T7" s="16">
        <f>SUM(P7:S7)</f>
        <v>0</v>
      </c>
    </row>
    <row r="9" spans="1:37" x14ac:dyDescent="0.25">
      <c r="A9" s="35" t="s">
        <v>74</v>
      </c>
      <c r="B9" s="125" t="s">
        <v>95</v>
      </c>
      <c r="C9" s="125"/>
      <c r="D9" s="125"/>
      <c r="E9" s="125"/>
      <c r="F9" s="125"/>
      <c r="G9" s="125"/>
      <c r="H9" s="125"/>
    </row>
    <row r="10" spans="1:37" x14ac:dyDescent="0.25">
      <c r="A10" s="36" t="s">
        <v>96</v>
      </c>
      <c r="B10" s="44">
        <f>C10-C10</f>
        <v>0</v>
      </c>
      <c r="C10" s="45">
        <v>0.05</v>
      </c>
      <c r="D10" s="46">
        <f>C10+$C$10</f>
        <v>0.1</v>
      </c>
      <c r="E10" s="46">
        <f>D10+$C$10</f>
        <v>0.15000000000000002</v>
      </c>
      <c r="F10" s="46">
        <f>E10+$C$10</f>
        <v>0.2</v>
      </c>
      <c r="G10" s="46">
        <f>F10+$C$10</f>
        <v>0.25</v>
      </c>
      <c r="H10" s="46">
        <f>G10+$C$10</f>
        <v>0.3</v>
      </c>
    </row>
    <row r="11" spans="1:37" hidden="1" outlineLevel="1" x14ac:dyDescent="0.25">
      <c r="A11" s="41" t="str">
        <f>A5</f>
        <v>Arbeidskapital 30 %</v>
      </c>
      <c r="B11" s="47">
        <f>NPV(B10,$B5:$J$5)*(1+B10)</f>
        <v>2556.0745102592145</v>
      </c>
      <c r="C11" s="47">
        <f>NPV(C10,$B5:$J$5)*(1+C10)</f>
        <v>769.11647740125898</v>
      </c>
      <c r="D11" s="47">
        <f>NPV(D10,$B5:$J$5)*(1+D10)</f>
        <v>-735.40365394494142</v>
      </c>
      <c r="E11" s="47">
        <f>NPV(E10,$B5:$J$5)*(1+E10)</f>
        <v>-2012.4847265358724</v>
      </c>
      <c r="F11" s="47">
        <f>NPV(F10,$B5:$J$5)*(1+F10)</f>
        <v>-3104.5705486790057</v>
      </c>
      <c r="G11" s="47">
        <f>NPV(G10,$B5:$J$5)*(1+G10)</f>
        <v>-4044.8014805978264</v>
      </c>
      <c r="H11" s="47">
        <f>NPV(H10,$B5:$J$5)*(1+H10)</f>
        <v>-4859.3321276358647</v>
      </c>
      <c r="I11" s="48"/>
    </row>
    <row r="12" spans="1:37" hidden="1" outlineLevel="1" x14ac:dyDescent="0.25">
      <c r="A12" s="41" t="str">
        <f>A6</f>
        <v>Arbeidskapital 15 %</v>
      </c>
      <c r="B12" s="47">
        <f>NPV(B10,$B$6:$J6)*(1+B10)</f>
        <v>2556.0926529988506</v>
      </c>
      <c r="C12" s="47">
        <f>NPV(C10,$B$6:$J6)*(1+C10)</f>
        <v>1077.7784178393565</v>
      </c>
      <c r="D12" s="47">
        <f>NPV(D10,$B$6:$J6)*(1+D10)</f>
        <v>-170.86083396021672</v>
      </c>
      <c r="E12" s="47">
        <f>NPV(E10,$B$6:$J6)*(1+E10)</f>
        <v>-1234.2200589627087</v>
      </c>
      <c r="F12" s="47">
        <f>NPV(F10,$B$6:$J6)*(1+F10)</f>
        <v>-2146.5988363238566</v>
      </c>
      <c r="G12" s="47">
        <f>NPV(G10,$B$6:$J6)*(1+G10)</f>
        <v>-2934.8100493316706</v>
      </c>
      <c r="H12" s="47">
        <f>NPV(H10,$B$6:$J6)*(1+H10)</f>
        <v>-3620.0403861913637</v>
      </c>
    </row>
    <row r="13" spans="1:37" collapsed="1" x14ac:dyDescent="0.25">
      <c r="A13" s="41" t="str">
        <f>A7</f>
        <v>Differansekontantstrøm</v>
      </c>
      <c r="B13" s="47">
        <f>NPV(B10,$B$7:$J7)*(1+B10)</f>
        <v>4.4408920985006262E-14</v>
      </c>
      <c r="C13" s="47">
        <f>NPV(C10,$B$7:$J7)*(1+C10)</f>
        <v>-308.64701436130002</v>
      </c>
      <c r="D13" s="47">
        <f>NPV(D10,$B$7:$J7)*(1+D10)</f>
        <v>-564.53042824943668</v>
      </c>
      <c r="E13" s="47">
        <f>NPV(E10,$B$7:$J7)*(1+E10)</f>
        <v>-778.25429440289258</v>
      </c>
      <c r="F13" s="47">
        <f>NPV(F10,$B$7:$J7)*(1+F10)</f>
        <v>-957.96296296296282</v>
      </c>
      <c r="G13" s="47">
        <f>NPV(G10,$B$7:$J7)*(1+G10)</f>
        <v>-1109.9839999999999</v>
      </c>
      <c r="H13" s="47">
        <f>NPV(H10,$B$7:$J7)*(1+H10)</f>
        <v>-1239.2853891670466</v>
      </c>
    </row>
    <row r="15" spans="1:37" x14ac:dyDescent="0.25">
      <c r="M15" s="49"/>
    </row>
    <row r="26" spans="2:7" x14ac:dyDescent="0.25">
      <c r="B26" s="49">
        <f t="shared" ref="B26:G26" si="1">C10*100</f>
        <v>5</v>
      </c>
      <c r="C26" s="49">
        <f t="shared" si="1"/>
        <v>10</v>
      </c>
      <c r="D26" s="49">
        <f t="shared" si="1"/>
        <v>15.000000000000002</v>
      </c>
      <c r="E26" s="49">
        <f t="shared" si="1"/>
        <v>20</v>
      </c>
      <c r="F26" s="49">
        <f t="shared" si="1"/>
        <v>25</v>
      </c>
      <c r="G26" s="49">
        <f t="shared" si="1"/>
        <v>30</v>
      </c>
    </row>
    <row r="34" spans="1:2" x14ac:dyDescent="0.25">
      <c r="B34" s="50"/>
    </row>
    <row r="38" spans="1:2" x14ac:dyDescent="0.25">
      <c r="A38" s="41"/>
    </row>
    <row r="54" spans="2:8" x14ac:dyDescent="0.25">
      <c r="B54" s="14"/>
      <c r="C54" s="15"/>
      <c r="D54" s="15"/>
      <c r="E54" s="15"/>
      <c r="F54" s="15"/>
      <c r="G54" s="15"/>
      <c r="H54" s="15"/>
    </row>
  </sheetData>
  <mergeCells count="3">
    <mergeCell ref="C1:G1"/>
    <mergeCell ref="B9:H9"/>
    <mergeCell ref="B3:E3"/>
  </mergeCells>
  <printOptions gridLines="1"/>
  <pageMargins left="0.75" right="0.75" top="1" bottom="1" header="0.5" footer="0.5"/>
  <pageSetup paperSize="9" orientation="portrait"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42"/>
  <sheetViews>
    <sheetView zoomScaleNormal="100" workbookViewId="0"/>
  </sheetViews>
  <sheetFormatPr baseColWidth="10" defaultColWidth="8.83203125" defaultRowHeight="12.75" x14ac:dyDescent="0.2"/>
  <cols>
    <col min="1" max="1" width="25.5" customWidth="1"/>
    <col min="2" max="2" width="14.6640625" customWidth="1"/>
  </cols>
  <sheetData>
    <row r="1" spans="1:2" ht="36" customHeight="1" x14ac:dyDescent="0.2"/>
    <row r="2" spans="1:2" ht="15" x14ac:dyDescent="0.25">
      <c r="A2" s="1" t="s">
        <v>126</v>
      </c>
      <c r="B2" s="32">
        <v>-9.8000000000000007</v>
      </c>
    </row>
    <row r="3" spans="1:2" x14ac:dyDescent="0.2">
      <c r="A3" s="8" t="s">
        <v>127</v>
      </c>
      <c r="B3" s="7">
        <v>10</v>
      </c>
    </row>
    <row r="4" spans="1:2" x14ac:dyDescent="0.2">
      <c r="A4" s="8" t="s">
        <v>95</v>
      </c>
      <c r="B4" s="33">
        <v>0.09</v>
      </c>
    </row>
    <row r="5" spans="1:2" x14ac:dyDescent="0.2">
      <c r="A5" s="8" t="s">
        <v>128</v>
      </c>
      <c r="B5" s="33">
        <v>0.02</v>
      </c>
    </row>
    <row r="6" spans="1:2" x14ac:dyDescent="0.2">
      <c r="A6" s="8" t="s">
        <v>74</v>
      </c>
      <c r="B6" s="34">
        <f>-$B$2*(1-((1+B5)/(1+B$4))^$B$3)/($B$4-B5)</f>
        <v>67.911701682814154</v>
      </c>
    </row>
    <row r="28" spans="10:10" ht="15" x14ac:dyDescent="0.25">
      <c r="J28" s="1"/>
    </row>
    <row r="35" spans="6:6" x14ac:dyDescent="0.2">
      <c r="F35">
        <v>2</v>
      </c>
    </row>
    <row r="42" spans="6:6" ht="15" x14ac:dyDescent="0.25">
      <c r="F42" s="1"/>
    </row>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N162"/>
  <sheetViews>
    <sheetView topLeftCell="W1" workbookViewId="0">
      <selection activeCell="W3" sqref="W3"/>
    </sheetView>
  </sheetViews>
  <sheetFormatPr baseColWidth="10" defaultColWidth="11" defaultRowHeight="15" x14ac:dyDescent="0.25"/>
  <cols>
    <col min="1" max="1" width="15.83203125" style="53" customWidth="1"/>
    <col min="2" max="22" width="11" style="2"/>
    <col min="23" max="23" width="12.83203125" style="2" customWidth="1"/>
    <col min="24" max="16384" width="11" style="2"/>
  </cols>
  <sheetData>
    <row r="1" spans="1:23" x14ac:dyDescent="0.25">
      <c r="A1" s="60" t="s">
        <v>9</v>
      </c>
    </row>
    <row r="2" spans="1:23" x14ac:dyDescent="0.25">
      <c r="A2" s="53" t="s">
        <v>10</v>
      </c>
      <c r="B2" s="2">
        <v>1600000</v>
      </c>
    </row>
    <row r="3" spans="1:23" x14ac:dyDescent="0.25">
      <c r="A3" s="53" t="s">
        <v>2</v>
      </c>
      <c r="B3" s="61">
        <v>0.04</v>
      </c>
    </row>
    <row r="4" spans="1:23" x14ac:dyDescent="0.25">
      <c r="A4" s="53" t="s">
        <v>11</v>
      </c>
      <c r="B4" s="2">
        <v>20</v>
      </c>
    </row>
    <row r="5" spans="1:23" x14ac:dyDescent="0.25">
      <c r="A5" s="53" t="s">
        <v>3</v>
      </c>
      <c r="B5" s="2">
        <f>-1*PMT(B3,B4,B2)</f>
        <v>117730.80052580623</v>
      </c>
    </row>
    <row r="6" spans="1:23" x14ac:dyDescent="0.25">
      <c r="A6" s="53" t="s">
        <v>12</v>
      </c>
      <c r="B6" s="61">
        <v>0</v>
      </c>
      <c r="G6" s="2" t="s">
        <v>0</v>
      </c>
    </row>
    <row r="7" spans="1:23" x14ac:dyDescent="0.25">
      <c r="A7" s="53" t="s">
        <v>13</v>
      </c>
      <c r="B7" s="2">
        <v>600000</v>
      </c>
    </row>
    <row r="8" spans="1:23" x14ac:dyDescent="0.25">
      <c r="A8" s="53" t="s">
        <v>73</v>
      </c>
      <c r="B8" s="74">
        <v>3.5000000000000003E-2</v>
      </c>
    </row>
    <row r="9" spans="1:23" x14ac:dyDescent="0.25">
      <c r="B9" s="126" t="s">
        <v>41</v>
      </c>
      <c r="C9" s="126"/>
      <c r="D9" s="126"/>
      <c r="E9" s="126"/>
      <c r="F9" s="126"/>
      <c r="G9" s="126"/>
      <c r="H9" s="126"/>
      <c r="I9" s="126"/>
      <c r="J9" s="126"/>
      <c r="K9" s="126"/>
      <c r="L9" s="126"/>
      <c r="M9" s="126"/>
      <c r="N9" s="126"/>
      <c r="O9" s="126"/>
      <c r="P9" s="126"/>
      <c r="Q9" s="126"/>
      <c r="R9" s="126"/>
      <c r="S9" s="126"/>
      <c r="T9" s="126"/>
      <c r="U9" s="126"/>
      <c r="V9" s="126"/>
    </row>
    <row r="10" spans="1:23" s="63" customFormat="1" x14ac:dyDescent="0.25">
      <c r="A10" s="53"/>
      <c r="B10" s="62">
        <v>0</v>
      </c>
      <c r="C10" s="63">
        <v>1</v>
      </c>
      <c r="D10" s="63">
        <v>2</v>
      </c>
      <c r="E10" s="63">
        <v>3</v>
      </c>
      <c r="F10" s="63">
        <v>4</v>
      </c>
      <c r="G10" s="63">
        <v>5</v>
      </c>
      <c r="H10" s="63">
        <v>6</v>
      </c>
      <c r="I10" s="63">
        <v>7</v>
      </c>
      <c r="J10" s="63">
        <v>8</v>
      </c>
      <c r="K10" s="63">
        <v>9</v>
      </c>
      <c r="L10" s="63">
        <v>10</v>
      </c>
      <c r="M10" s="63">
        <v>11</v>
      </c>
      <c r="N10" s="63">
        <v>12</v>
      </c>
      <c r="O10" s="63">
        <v>13</v>
      </c>
      <c r="P10" s="63">
        <v>14</v>
      </c>
      <c r="Q10" s="63">
        <v>15</v>
      </c>
      <c r="R10" s="63">
        <v>16</v>
      </c>
      <c r="S10" s="63">
        <v>17</v>
      </c>
      <c r="T10" s="63">
        <v>18</v>
      </c>
      <c r="U10" s="63">
        <v>19</v>
      </c>
      <c r="V10" s="63">
        <v>20</v>
      </c>
      <c r="W10" s="63" t="s">
        <v>14</v>
      </c>
    </row>
    <row r="11" spans="1:23" s="63" customFormat="1" x14ac:dyDescent="0.25">
      <c r="A11" s="53" t="s">
        <v>60</v>
      </c>
      <c r="B11" s="62"/>
    </row>
    <row r="12" spans="1:23" s="63" customFormat="1" x14ac:dyDescent="0.25">
      <c r="A12" s="53" t="s">
        <v>26</v>
      </c>
      <c r="B12" s="62">
        <f>B2</f>
        <v>1600000</v>
      </c>
      <c r="C12" s="63">
        <f>B12+C13</f>
        <v>1520000</v>
      </c>
      <c r="D12" s="63">
        <f t="shared" ref="D12:V12" si="0">C12+D13</f>
        <v>1440000</v>
      </c>
      <c r="E12" s="63">
        <f t="shared" si="0"/>
        <v>1360000</v>
      </c>
      <c r="F12" s="63">
        <f t="shared" si="0"/>
        <v>1280000</v>
      </c>
      <c r="G12" s="63">
        <f t="shared" si="0"/>
        <v>1200000</v>
      </c>
      <c r="H12" s="63">
        <f t="shared" si="0"/>
        <v>1120000</v>
      </c>
      <c r="I12" s="63">
        <f t="shared" si="0"/>
        <v>1040000</v>
      </c>
      <c r="J12" s="63">
        <f t="shared" si="0"/>
        <v>960000</v>
      </c>
      <c r="K12" s="63">
        <f t="shared" si="0"/>
        <v>880000</v>
      </c>
      <c r="L12" s="63">
        <f t="shared" si="0"/>
        <v>800000</v>
      </c>
      <c r="M12" s="63">
        <f t="shared" si="0"/>
        <v>720000</v>
      </c>
      <c r="N12" s="63">
        <f t="shared" si="0"/>
        <v>640000</v>
      </c>
      <c r="O12" s="63">
        <f t="shared" si="0"/>
        <v>560000</v>
      </c>
      <c r="P12" s="63">
        <f t="shared" si="0"/>
        <v>480000</v>
      </c>
      <c r="Q12" s="63">
        <f t="shared" si="0"/>
        <v>400000</v>
      </c>
      <c r="R12" s="63">
        <f t="shared" si="0"/>
        <v>320000</v>
      </c>
      <c r="S12" s="63">
        <f t="shared" si="0"/>
        <v>240000</v>
      </c>
      <c r="T12" s="63">
        <f t="shared" si="0"/>
        <v>160000</v>
      </c>
      <c r="U12" s="63">
        <f t="shared" si="0"/>
        <v>80000</v>
      </c>
      <c r="V12" s="63">
        <f t="shared" si="0"/>
        <v>0</v>
      </c>
    </row>
    <row r="13" spans="1:23" s="63" customFormat="1" x14ac:dyDescent="0.25">
      <c r="A13" s="53" t="s">
        <v>6</v>
      </c>
      <c r="B13" s="62"/>
      <c r="C13" s="63">
        <f>-$B$2/$B$4</f>
        <v>-80000</v>
      </c>
      <c r="D13" s="63">
        <f t="shared" ref="D13:V13" si="1">-$B$2/$B$4</f>
        <v>-80000</v>
      </c>
      <c r="E13" s="63">
        <f t="shared" si="1"/>
        <v>-80000</v>
      </c>
      <c r="F13" s="63">
        <f t="shared" si="1"/>
        <v>-80000</v>
      </c>
      <c r="G13" s="63">
        <f t="shared" si="1"/>
        <v>-80000</v>
      </c>
      <c r="H13" s="63">
        <f t="shared" si="1"/>
        <v>-80000</v>
      </c>
      <c r="I13" s="63">
        <f t="shared" si="1"/>
        <v>-80000</v>
      </c>
      <c r="J13" s="63">
        <f t="shared" si="1"/>
        <v>-80000</v>
      </c>
      <c r="K13" s="63">
        <f t="shared" si="1"/>
        <v>-80000</v>
      </c>
      <c r="L13" s="63">
        <f t="shared" si="1"/>
        <v>-80000</v>
      </c>
      <c r="M13" s="63">
        <f t="shared" si="1"/>
        <v>-80000</v>
      </c>
      <c r="N13" s="63">
        <f t="shared" si="1"/>
        <v>-80000</v>
      </c>
      <c r="O13" s="63">
        <f t="shared" si="1"/>
        <v>-80000</v>
      </c>
      <c r="P13" s="63">
        <f t="shared" si="1"/>
        <v>-80000</v>
      </c>
      <c r="Q13" s="63">
        <f t="shared" si="1"/>
        <v>-80000</v>
      </c>
      <c r="R13" s="63">
        <f t="shared" si="1"/>
        <v>-80000</v>
      </c>
      <c r="S13" s="63">
        <f t="shared" si="1"/>
        <v>-80000</v>
      </c>
      <c r="T13" s="63">
        <f t="shared" si="1"/>
        <v>-80000</v>
      </c>
      <c r="U13" s="63">
        <f t="shared" si="1"/>
        <v>-80000</v>
      </c>
      <c r="V13" s="63">
        <f t="shared" si="1"/>
        <v>-80000</v>
      </c>
      <c r="W13" s="63">
        <f>SUM(C13:V13)</f>
        <v>-1600000</v>
      </c>
    </row>
    <row r="14" spans="1:23" s="63" customFormat="1" x14ac:dyDescent="0.25">
      <c r="A14" s="53" t="s">
        <v>16</v>
      </c>
      <c r="B14" s="62"/>
      <c r="C14" s="63">
        <f>-B12*$B$3</f>
        <v>-64000</v>
      </c>
      <c r="D14" s="63">
        <f>-C12*$B$3</f>
        <v>-60800</v>
      </c>
      <c r="E14" s="63">
        <f t="shared" ref="E14:V14" si="2">-D12*$B$3</f>
        <v>-57600</v>
      </c>
      <c r="F14" s="63">
        <f t="shared" si="2"/>
        <v>-54400</v>
      </c>
      <c r="G14" s="63">
        <f t="shared" si="2"/>
        <v>-51200</v>
      </c>
      <c r="H14" s="63">
        <f t="shared" si="2"/>
        <v>-48000</v>
      </c>
      <c r="I14" s="63">
        <f t="shared" si="2"/>
        <v>-44800</v>
      </c>
      <c r="J14" s="63">
        <f t="shared" si="2"/>
        <v>-41600</v>
      </c>
      <c r="K14" s="63">
        <f t="shared" si="2"/>
        <v>-38400</v>
      </c>
      <c r="L14" s="63">
        <f t="shared" si="2"/>
        <v>-35200</v>
      </c>
      <c r="M14" s="63">
        <f t="shared" si="2"/>
        <v>-32000</v>
      </c>
      <c r="N14" s="63">
        <f t="shared" si="2"/>
        <v>-28800</v>
      </c>
      <c r="O14" s="63">
        <f t="shared" si="2"/>
        <v>-25600</v>
      </c>
      <c r="P14" s="63">
        <f t="shared" si="2"/>
        <v>-22400</v>
      </c>
      <c r="Q14" s="63">
        <f t="shared" si="2"/>
        <v>-19200</v>
      </c>
      <c r="R14" s="63">
        <f t="shared" si="2"/>
        <v>-16000</v>
      </c>
      <c r="S14" s="63">
        <f t="shared" si="2"/>
        <v>-12800</v>
      </c>
      <c r="T14" s="63">
        <f t="shared" si="2"/>
        <v>-9600</v>
      </c>
      <c r="U14" s="63">
        <f t="shared" si="2"/>
        <v>-6400</v>
      </c>
      <c r="V14" s="63">
        <f t="shared" si="2"/>
        <v>-3200</v>
      </c>
      <c r="W14" s="63">
        <f>SUM(C14:V14)</f>
        <v>-672000</v>
      </c>
    </row>
    <row r="15" spans="1:23" s="63" customFormat="1" x14ac:dyDescent="0.25">
      <c r="A15" s="53" t="s">
        <v>17</v>
      </c>
      <c r="B15" s="62">
        <f>B12</f>
        <v>1600000</v>
      </c>
      <c r="C15" s="63">
        <f>C13+C14</f>
        <v>-144000</v>
      </c>
      <c r="D15" s="63">
        <f t="shared" ref="D15:V15" si="3">D13+D14</f>
        <v>-140800</v>
      </c>
      <c r="E15" s="63">
        <f t="shared" si="3"/>
        <v>-137600</v>
      </c>
      <c r="F15" s="63">
        <f t="shared" si="3"/>
        <v>-134400</v>
      </c>
      <c r="G15" s="63">
        <f t="shared" si="3"/>
        <v>-131200</v>
      </c>
      <c r="H15" s="63">
        <f t="shared" si="3"/>
        <v>-128000</v>
      </c>
      <c r="I15" s="63">
        <f t="shared" si="3"/>
        <v>-124800</v>
      </c>
      <c r="J15" s="63">
        <f t="shared" si="3"/>
        <v>-121600</v>
      </c>
      <c r="K15" s="63">
        <f t="shared" si="3"/>
        <v>-118400</v>
      </c>
      <c r="L15" s="63">
        <f t="shared" si="3"/>
        <v>-115200</v>
      </c>
      <c r="M15" s="63">
        <f t="shared" si="3"/>
        <v>-112000</v>
      </c>
      <c r="N15" s="63">
        <f t="shared" si="3"/>
        <v>-108800</v>
      </c>
      <c r="O15" s="63">
        <f t="shared" si="3"/>
        <v>-105600</v>
      </c>
      <c r="P15" s="63">
        <f t="shared" si="3"/>
        <v>-102400</v>
      </c>
      <c r="Q15" s="63">
        <f t="shared" si="3"/>
        <v>-99200</v>
      </c>
      <c r="R15" s="63">
        <f t="shared" si="3"/>
        <v>-96000</v>
      </c>
      <c r="S15" s="63">
        <f t="shared" si="3"/>
        <v>-92800</v>
      </c>
      <c r="T15" s="63">
        <f t="shared" si="3"/>
        <v>-89600</v>
      </c>
      <c r="U15" s="63">
        <f t="shared" si="3"/>
        <v>-86400</v>
      </c>
      <c r="V15" s="63">
        <f t="shared" si="3"/>
        <v>-83200</v>
      </c>
    </row>
    <row r="16" spans="1:23" s="63" customFormat="1" x14ac:dyDescent="0.25">
      <c r="A16" s="53"/>
      <c r="B16" s="62"/>
      <c r="V16" s="63" t="s">
        <v>14</v>
      </c>
      <c r="W16" s="63">
        <f>SUM(W13:W14)</f>
        <v>-2272000</v>
      </c>
    </row>
    <row r="17" spans="1:40" s="63" customFormat="1" x14ac:dyDescent="0.25">
      <c r="A17" s="53" t="s">
        <v>61</v>
      </c>
      <c r="B17" s="62"/>
      <c r="AB17" s="63" t="s">
        <v>0</v>
      </c>
    </row>
    <row r="18" spans="1:40" s="63" customFormat="1" x14ac:dyDescent="0.25">
      <c r="A18" s="53" t="s">
        <v>26</v>
      </c>
      <c r="B18" s="62">
        <f>B2</f>
        <v>1600000</v>
      </c>
      <c r="C18" s="63">
        <f>B18+C19</f>
        <v>1546269.1994741939</v>
      </c>
      <c r="D18" s="63">
        <f t="shared" ref="D18:V18" si="4">C18+D19</f>
        <v>1490389.1669273553</v>
      </c>
      <c r="E18" s="63">
        <f t="shared" si="4"/>
        <v>1432273.9330786434</v>
      </c>
      <c r="F18" s="63">
        <f t="shared" si="4"/>
        <v>1371834.0898759828</v>
      </c>
      <c r="G18" s="63">
        <f t="shared" si="4"/>
        <v>1308976.6529452158</v>
      </c>
      <c r="H18" s="63">
        <f t="shared" si="4"/>
        <v>1243604.9185372181</v>
      </c>
      <c r="I18" s="63">
        <f t="shared" si="4"/>
        <v>1175618.3147529005</v>
      </c>
      <c r="J18" s="63">
        <f t="shared" si="4"/>
        <v>1104912.2468172102</v>
      </c>
      <c r="K18" s="63">
        <f t="shared" si="4"/>
        <v>1031377.9361640924</v>
      </c>
      <c r="L18" s="63">
        <f t="shared" si="4"/>
        <v>954902.2530848498</v>
      </c>
      <c r="M18" s="63">
        <f t="shared" si="4"/>
        <v>875367.54268243758</v>
      </c>
      <c r="N18" s="63">
        <f t="shared" si="4"/>
        <v>792651.44386392878</v>
      </c>
      <c r="O18" s="63">
        <f t="shared" si="4"/>
        <v>706626.70109267975</v>
      </c>
      <c r="P18" s="63">
        <f t="shared" si="4"/>
        <v>617160.96861058066</v>
      </c>
      <c r="Q18" s="63">
        <f t="shared" si="4"/>
        <v>524116.60682919767</v>
      </c>
      <c r="R18" s="63">
        <f t="shared" si="4"/>
        <v>427350.47057655931</v>
      </c>
      <c r="S18" s="63">
        <f t="shared" si="4"/>
        <v>326713.68887381547</v>
      </c>
      <c r="T18" s="63">
        <f t="shared" si="4"/>
        <v>222051.43590296185</v>
      </c>
      <c r="U18" s="63">
        <f t="shared" si="4"/>
        <v>113202.69281327409</v>
      </c>
      <c r="V18" s="63">
        <f t="shared" si="4"/>
        <v>-1.178705133497715E-9</v>
      </c>
    </row>
    <row r="19" spans="1:40" s="63" customFormat="1" x14ac:dyDescent="0.25">
      <c r="A19" s="53" t="s">
        <v>6</v>
      </c>
      <c r="B19" s="62"/>
      <c r="C19" s="63">
        <f>-$B$5-C20</f>
        <v>-53730.800525806233</v>
      </c>
      <c r="D19" s="63">
        <f t="shared" ref="D19:V19" si="5">-$B$5-D20</f>
        <v>-55880.032546838476</v>
      </c>
      <c r="E19" s="63">
        <f t="shared" si="5"/>
        <v>-58115.233848712021</v>
      </c>
      <c r="F19" s="63">
        <f t="shared" si="5"/>
        <v>-60439.843202660493</v>
      </c>
      <c r="G19" s="63">
        <f t="shared" si="5"/>
        <v>-62857.436930766919</v>
      </c>
      <c r="H19" s="63">
        <f t="shared" si="5"/>
        <v>-65371.734407997603</v>
      </c>
      <c r="I19" s="63">
        <f t="shared" si="5"/>
        <v>-67986.6037843175</v>
      </c>
      <c r="J19" s="63">
        <f t="shared" si="5"/>
        <v>-70706.067935690211</v>
      </c>
      <c r="K19" s="63">
        <f t="shared" si="5"/>
        <v>-73534.31065311782</v>
      </c>
      <c r="L19" s="63">
        <f t="shared" si="5"/>
        <v>-76475.683079242532</v>
      </c>
      <c r="M19" s="63">
        <f t="shared" si="5"/>
        <v>-79534.710402412238</v>
      </c>
      <c r="N19" s="63">
        <f t="shared" si="5"/>
        <v>-82716.098818508734</v>
      </c>
      <c r="O19" s="63">
        <f t="shared" si="5"/>
        <v>-86024.74277124909</v>
      </c>
      <c r="P19" s="63">
        <f t="shared" si="5"/>
        <v>-89465.732482099047</v>
      </c>
      <c r="Q19" s="63">
        <f t="shared" si="5"/>
        <v>-93044.361781383006</v>
      </c>
      <c r="R19" s="63">
        <f t="shared" si="5"/>
        <v>-96766.136252638331</v>
      </c>
      <c r="S19" s="63">
        <f t="shared" si="5"/>
        <v>-100636.78170274386</v>
      </c>
      <c r="T19" s="63">
        <f t="shared" si="5"/>
        <v>-104662.25297085362</v>
      </c>
      <c r="U19" s="63">
        <f t="shared" si="5"/>
        <v>-108848.74308968776</v>
      </c>
      <c r="V19" s="63">
        <f t="shared" si="5"/>
        <v>-113202.69281327527</v>
      </c>
      <c r="W19" s="63">
        <f>SUM(C19:V19)</f>
        <v>-1600000.0000000009</v>
      </c>
    </row>
    <row r="20" spans="1:40" s="63" customFormat="1" x14ac:dyDescent="0.25">
      <c r="A20" s="53" t="s">
        <v>16</v>
      </c>
      <c r="B20" s="62"/>
      <c r="C20" s="63">
        <f>-$B$3*B18</f>
        <v>-64000</v>
      </c>
      <c r="D20" s="63">
        <f t="shared" ref="D20:V20" si="6">-$B$3*C18</f>
        <v>-61850.767978967757</v>
      </c>
      <c r="E20" s="63">
        <f t="shared" si="6"/>
        <v>-59615.566677094212</v>
      </c>
      <c r="F20" s="63">
        <f t="shared" si="6"/>
        <v>-57290.95732314574</v>
      </c>
      <c r="G20" s="63">
        <f t="shared" si="6"/>
        <v>-54873.363595039315</v>
      </c>
      <c r="H20" s="63">
        <f t="shared" si="6"/>
        <v>-52359.06611780863</v>
      </c>
      <c r="I20" s="63">
        <f t="shared" si="6"/>
        <v>-49744.196741488726</v>
      </c>
      <c r="J20" s="63">
        <f t="shared" si="6"/>
        <v>-47024.732590116022</v>
      </c>
      <c r="K20" s="63">
        <f t="shared" si="6"/>
        <v>-44196.489872688413</v>
      </c>
      <c r="L20" s="63">
        <f t="shared" si="6"/>
        <v>-41255.117446563694</v>
      </c>
      <c r="M20" s="63">
        <f t="shared" si="6"/>
        <v>-38196.090123393995</v>
      </c>
      <c r="N20" s="63">
        <f t="shared" si="6"/>
        <v>-35014.701707297507</v>
      </c>
      <c r="O20" s="63">
        <f t="shared" si="6"/>
        <v>-31706.05775455715</v>
      </c>
      <c r="P20" s="63">
        <f t="shared" si="6"/>
        <v>-28265.06804370719</v>
      </c>
      <c r="Q20" s="63">
        <f t="shared" si="6"/>
        <v>-24686.438744423227</v>
      </c>
      <c r="R20" s="63">
        <f t="shared" si="6"/>
        <v>-20964.664273167906</v>
      </c>
      <c r="S20" s="63">
        <f t="shared" si="6"/>
        <v>-17094.018823062372</v>
      </c>
      <c r="T20" s="63">
        <f t="shared" si="6"/>
        <v>-13068.547554952618</v>
      </c>
      <c r="U20" s="63">
        <f t="shared" si="6"/>
        <v>-8882.0574361184736</v>
      </c>
      <c r="V20" s="63">
        <f t="shared" si="6"/>
        <v>-4528.1077125309639</v>
      </c>
      <c r="W20" s="63">
        <f>SUM(C20:V20)</f>
        <v>-754616.01051612408</v>
      </c>
    </row>
    <row r="21" spans="1:40" s="63" customFormat="1" x14ac:dyDescent="0.25">
      <c r="A21" s="53" t="s">
        <v>17</v>
      </c>
      <c r="B21" s="62">
        <f>B18</f>
        <v>1600000</v>
      </c>
      <c r="C21" s="63">
        <f>C19+C20</f>
        <v>-117730.80052580623</v>
      </c>
      <c r="D21" s="63">
        <f t="shared" ref="D21:V21" si="7">D19+D20</f>
        <v>-117730.80052580623</v>
      </c>
      <c r="E21" s="63">
        <f t="shared" si="7"/>
        <v>-117730.80052580623</v>
      </c>
      <c r="F21" s="63">
        <f t="shared" si="7"/>
        <v>-117730.80052580623</v>
      </c>
      <c r="G21" s="63">
        <f t="shared" si="7"/>
        <v>-117730.80052580623</v>
      </c>
      <c r="H21" s="63">
        <f t="shared" si="7"/>
        <v>-117730.80052580623</v>
      </c>
      <c r="I21" s="63">
        <f t="shared" si="7"/>
        <v>-117730.80052580623</v>
      </c>
      <c r="J21" s="63">
        <f t="shared" si="7"/>
        <v>-117730.80052580623</v>
      </c>
      <c r="K21" s="63">
        <f t="shared" si="7"/>
        <v>-117730.80052580623</v>
      </c>
      <c r="L21" s="63">
        <f t="shared" si="7"/>
        <v>-117730.80052580623</v>
      </c>
      <c r="M21" s="63">
        <f t="shared" si="7"/>
        <v>-117730.80052580623</v>
      </c>
      <c r="N21" s="63">
        <f t="shared" si="7"/>
        <v>-117730.80052580623</v>
      </c>
      <c r="O21" s="63">
        <f t="shared" si="7"/>
        <v>-117730.80052580623</v>
      </c>
      <c r="P21" s="63">
        <f t="shared" si="7"/>
        <v>-117730.80052580623</v>
      </c>
      <c r="Q21" s="63">
        <f t="shared" si="7"/>
        <v>-117730.80052580623</v>
      </c>
      <c r="R21" s="63">
        <f t="shared" si="7"/>
        <v>-117730.80052580623</v>
      </c>
      <c r="S21" s="63">
        <f t="shared" si="7"/>
        <v>-117730.80052580623</v>
      </c>
      <c r="T21" s="63">
        <f t="shared" si="7"/>
        <v>-117730.80052580623</v>
      </c>
      <c r="U21" s="63">
        <f t="shared" si="7"/>
        <v>-117730.80052580623</v>
      </c>
      <c r="V21" s="63">
        <f t="shared" si="7"/>
        <v>-117730.80052580623</v>
      </c>
    </row>
    <row r="22" spans="1:40" s="63" customFormat="1" x14ac:dyDescent="0.25">
      <c r="A22" s="53"/>
      <c r="V22" s="63" t="s">
        <v>14</v>
      </c>
      <c r="W22" s="63">
        <f>SUM(W19:W20)</f>
        <v>-2354616.0105161248</v>
      </c>
    </row>
    <row r="23" spans="1:40" s="1" customFormat="1" x14ac:dyDescent="0.25">
      <c r="A23" s="64"/>
      <c r="D23" s="1" t="s">
        <v>0</v>
      </c>
    </row>
    <row r="24" spans="1:40" s="66" customFormat="1" x14ac:dyDescent="0.25">
      <c r="A24" s="64"/>
      <c r="B24" s="65" t="s">
        <v>19</v>
      </c>
    </row>
    <row r="25" spans="1:40" s="68" customFormat="1" x14ac:dyDescent="0.25">
      <c r="A25" s="67"/>
      <c r="C25" s="68">
        <v>1</v>
      </c>
      <c r="D25" s="68">
        <v>2</v>
      </c>
      <c r="E25" s="68">
        <v>3</v>
      </c>
      <c r="F25" s="68">
        <v>4</v>
      </c>
      <c r="G25" s="68">
        <v>5</v>
      </c>
      <c r="H25" s="68">
        <v>6</v>
      </c>
      <c r="I25" s="68">
        <v>7</v>
      </c>
      <c r="J25" s="68">
        <v>8</v>
      </c>
      <c r="K25" s="68">
        <v>9</v>
      </c>
      <c r="L25" s="68">
        <v>10</v>
      </c>
      <c r="M25" s="68">
        <v>11</v>
      </c>
      <c r="N25" s="68">
        <v>12</v>
      </c>
      <c r="O25" s="68">
        <v>13</v>
      </c>
      <c r="P25" s="68">
        <v>14</v>
      </c>
      <c r="Q25" s="68">
        <v>15</v>
      </c>
      <c r="R25" s="68">
        <v>16</v>
      </c>
      <c r="S25" s="68">
        <v>17</v>
      </c>
      <c r="T25" s="68">
        <v>18</v>
      </c>
      <c r="U25" s="68">
        <v>19</v>
      </c>
      <c r="V25" s="68">
        <v>20</v>
      </c>
      <c r="W25" s="68" t="s">
        <v>14</v>
      </c>
    </row>
    <row r="26" spans="1:40" x14ac:dyDescent="0.25">
      <c r="A26" s="64"/>
      <c r="B26" s="2" t="s">
        <v>15</v>
      </c>
      <c r="C26" s="2">
        <f>-C15/1000</f>
        <v>144</v>
      </c>
      <c r="D26" s="2">
        <f t="shared" ref="D26:S26" si="8">-D15/1000</f>
        <v>140.80000000000001</v>
      </c>
      <c r="E26" s="2">
        <f t="shared" si="8"/>
        <v>137.6</v>
      </c>
      <c r="F26" s="2">
        <f t="shared" si="8"/>
        <v>134.4</v>
      </c>
      <c r="G26" s="2">
        <f t="shared" si="8"/>
        <v>131.19999999999999</v>
      </c>
      <c r="H26" s="2">
        <f t="shared" si="8"/>
        <v>128</v>
      </c>
      <c r="I26" s="2">
        <f t="shared" si="8"/>
        <v>124.8</v>
      </c>
      <c r="J26" s="2">
        <f t="shared" si="8"/>
        <v>121.6</v>
      </c>
      <c r="K26" s="2">
        <f t="shared" si="8"/>
        <v>118.4</v>
      </c>
      <c r="L26" s="2">
        <f t="shared" si="8"/>
        <v>115.2</v>
      </c>
      <c r="M26" s="2">
        <f t="shared" si="8"/>
        <v>112</v>
      </c>
      <c r="N26" s="2">
        <f t="shared" si="8"/>
        <v>108.8</v>
      </c>
      <c r="O26" s="2">
        <f t="shared" si="8"/>
        <v>105.6</v>
      </c>
      <c r="P26" s="2">
        <f t="shared" si="8"/>
        <v>102.4</v>
      </c>
      <c r="Q26" s="2">
        <f t="shared" si="8"/>
        <v>99.2</v>
      </c>
      <c r="R26" s="2">
        <f t="shared" si="8"/>
        <v>96</v>
      </c>
      <c r="S26" s="2">
        <f t="shared" si="8"/>
        <v>92.8</v>
      </c>
      <c r="T26" s="2">
        <f>-T15/1000</f>
        <v>89.6</v>
      </c>
      <c r="U26" s="2">
        <f>-U15/1000</f>
        <v>86.4</v>
      </c>
      <c r="V26" s="2">
        <f>-V15/1000</f>
        <v>83.2</v>
      </c>
      <c r="W26" s="2">
        <f>SUM(C26:V26)</f>
        <v>2272</v>
      </c>
      <c r="Z26" s="2" t="s">
        <v>0</v>
      </c>
    </row>
    <row r="27" spans="1:40" x14ac:dyDescent="0.25">
      <c r="A27" s="64"/>
      <c r="B27" s="2" t="s">
        <v>18</v>
      </c>
      <c r="C27" s="2">
        <f>-C21/1000</f>
        <v>117.73080052580623</v>
      </c>
      <c r="D27" s="2">
        <f t="shared" ref="D27:S27" si="9">-D21/1000</f>
        <v>117.73080052580623</v>
      </c>
      <c r="E27" s="2">
        <f t="shared" si="9"/>
        <v>117.73080052580623</v>
      </c>
      <c r="F27" s="2">
        <f t="shared" si="9"/>
        <v>117.73080052580623</v>
      </c>
      <c r="G27" s="2">
        <f t="shared" si="9"/>
        <v>117.73080052580623</v>
      </c>
      <c r="H27" s="2">
        <f t="shared" si="9"/>
        <v>117.73080052580623</v>
      </c>
      <c r="I27" s="2">
        <f t="shared" si="9"/>
        <v>117.73080052580623</v>
      </c>
      <c r="J27" s="2">
        <f t="shared" si="9"/>
        <v>117.73080052580623</v>
      </c>
      <c r="K27" s="2">
        <f t="shared" si="9"/>
        <v>117.73080052580623</v>
      </c>
      <c r="L27" s="2">
        <f t="shared" si="9"/>
        <v>117.73080052580623</v>
      </c>
      <c r="M27" s="2">
        <f t="shared" si="9"/>
        <v>117.73080052580623</v>
      </c>
      <c r="N27" s="2">
        <f t="shared" si="9"/>
        <v>117.73080052580623</v>
      </c>
      <c r="O27" s="2">
        <f t="shared" si="9"/>
        <v>117.73080052580623</v>
      </c>
      <c r="P27" s="2">
        <f t="shared" si="9"/>
        <v>117.73080052580623</v>
      </c>
      <c r="Q27" s="2">
        <f t="shared" si="9"/>
        <v>117.73080052580623</v>
      </c>
      <c r="R27" s="2">
        <f t="shared" si="9"/>
        <v>117.73080052580623</v>
      </c>
      <c r="S27" s="2">
        <f t="shared" si="9"/>
        <v>117.73080052580623</v>
      </c>
      <c r="T27" s="2">
        <f>-T21/1000</f>
        <v>117.73080052580623</v>
      </c>
      <c r="U27" s="2">
        <f>-U21/1000</f>
        <v>117.73080052580623</v>
      </c>
      <c r="V27" s="2">
        <f>-V21/1000</f>
        <v>117.73080052580623</v>
      </c>
      <c r="W27" s="2">
        <f>SUM(C27:V27)</f>
        <v>2354.6160105161252</v>
      </c>
    </row>
    <row r="29" spans="1:40" x14ac:dyDescent="0.25">
      <c r="A29" s="60" t="s">
        <v>20</v>
      </c>
      <c r="O29" s="2" t="s">
        <v>0</v>
      </c>
    </row>
    <row r="30" spans="1:40" x14ac:dyDescent="0.25">
      <c r="A30" s="2"/>
      <c r="B30" s="126" t="s">
        <v>41</v>
      </c>
      <c r="C30" s="126"/>
      <c r="D30" s="126"/>
      <c r="E30" s="126"/>
      <c r="F30" s="126"/>
      <c r="G30" s="126"/>
      <c r="H30" s="126"/>
      <c r="I30" s="126"/>
      <c r="J30" s="126"/>
      <c r="K30" s="126"/>
      <c r="L30" s="126"/>
      <c r="M30" s="126"/>
      <c r="N30" s="126"/>
      <c r="O30" s="126"/>
      <c r="P30" s="126"/>
      <c r="Q30" s="126"/>
      <c r="R30" s="126"/>
      <c r="S30" s="126"/>
      <c r="T30" s="126"/>
      <c r="U30" s="126"/>
      <c r="V30" s="126"/>
      <c r="AN30" s="2" t="s">
        <v>0</v>
      </c>
    </row>
    <row r="31" spans="1:40" s="69" customFormat="1" x14ac:dyDescent="0.25">
      <c r="A31" s="67"/>
      <c r="B31" s="62">
        <v>0</v>
      </c>
      <c r="C31" s="63">
        <v>1</v>
      </c>
      <c r="D31" s="63">
        <v>2</v>
      </c>
      <c r="E31" s="63">
        <v>3</v>
      </c>
      <c r="F31" s="63">
        <v>4</v>
      </c>
      <c r="G31" s="63">
        <v>5</v>
      </c>
      <c r="H31" s="63">
        <v>6</v>
      </c>
      <c r="I31" s="63">
        <v>7</v>
      </c>
      <c r="J31" s="63">
        <v>8</v>
      </c>
      <c r="K31" s="63">
        <v>9</v>
      </c>
      <c r="L31" s="63">
        <v>10</v>
      </c>
      <c r="M31" s="63">
        <v>11</v>
      </c>
      <c r="N31" s="63">
        <v>12</v>
      </c>
      <c r="O31" s="63">
        <v>13</v>
      </c>
      <c r="P31" s="63">
        <v>14</v>
      </c>
      <c r="Q31" s="63">
        <v>15</v>
      </c>
      <c r="R31" s="63">
        <v>16</v>
      </c>
      <c r="S31" s="63">
        <v>17</v>
      </c>
      <c r="T31" s="63">
        <v>18</v>
      </c>
      <c r="U31" s="63">
        <v>19</v>
      </c>
      <c r="V31" s="63">
        <v>20</v>
      </c>
    </row>
    <row r="32" spans="1:40" x14ac:dyDescent="0.25">
      <c r="A32" s="53" t="s">
        <v>15</v>
      </c>
      <c r="B32" s="62">
        <f>B15</f>
        <v>1600000</v>
      </c>
      <c r="C32" s="63">
        <f t="shared" ref="C32:V32" si="10">C15</f>
        <v>-144000</v>
      </c>
      <c r="D32" s="63">
        <f t="shared" si="10"/>
        <v>-140800</v>
      </c>
      <c r="E32" s="63">
        <f t="shared" si="10"/>
        <v>-137600</v>
      </c>
      <c r="F32" s="63">
        <f t="shared" si="10"/>
        <v>-134400</v>
      </c>
      <c r="G32" s="63">
        <f t="shared" si="10"/>
        <v>-131200</v>
      </c>
      <c r="H32" s="63">
        <f t="shared" si="10"/>
        <v>-128000</v>
      </c>
      <c r="I32" s="63">
        <f t="shared" si="10"/>
        <v>-124800</v>
      </c>
      <c r="J32" s="63">
        <f t="shared" si="10"/>
        <v>-121600</v>
      </c>
      <c r="K32" s="63">
        <f t="shared" si="10"/>
        <v>-118400</v>
      </c>
      <c r="L32" s="63">
        <f t="shared" si="10"/>
        <v>-115200</v>
      </c>
      <c r="M32" s="63">
        <f t="shared" si="10"/>
        <v>-112000</v>
      </c>
      <c r="N32" s="63">
        <f t="shared" si="10"/>
        <v>-108800</v>
      </c>
      <c r="O32" s="63">
        <f t="shared" si="10"/>
        <v>-105600</v>
      </c>
      <c r="P32" s="63">
        <f t="shared" si="10"/>
        <v>-102400</v>
      </c>
      <c r="Q32" s="63">
        <f t="shared" si="10"/>
        <v>-99200</v>
      </c>
      <c r="R32" s="63">
        <f t="shared" si="10"/>
        <v>-96000</v>
      </c>
      <c r="S32" s="63">
        <f t="shared" si="10"/>
        <v>-92800</v>
      </c>
      <c r="T32" s="63">
        <f t="shared" si="10"/>
        <v>-89600</v>
      </c>
      <c r="U32" s="63">
        <f t="shared" si="10"/>
        <v>-86400</v>
      </c>
      <c r="V32" s="63">
        <f t="shared" si="10"/>
        <v>-83200</v>
      </c>
      <c r="Z32" s="2" t="s">
        <v>0</v>
      </c>
    </row>
    <row r="33" spans="1:31" x14ac:dyDescent="0.25">
      <c r="A33" s="53" t="s">
        <v>18</v>
      </c>
      <c r="B33" s="62">
        <f>B21</f>
        <v>1600000</v>
      </c>
      <c r="C33" s="63">
        <f t="shared" ref="C33:V33" si="11">C21</f>
        <v>-117730.80052580623</v>
      </c>
      <c r="D33" s="63">
        <f t="shared" si="11"/>
        <v>-117730.80052580623</v>
      </c>
      <c r="E33" s="63">
        <f t="shared" si="11"/>
        <v>-117730.80052580623</v>
      </c>
      <c r="F33" s="63">
        <f t="shared" si="11"/>
        <v>-117730.80052580623</v>
      </c>
      <c r="G33" s="63">
        <f t="shared" si="11"/>
        <v>-117730.80052580623</v>
      </c>
      <c r="H33" s="63">
        <f t="shared" si="11"/>
        <v>-117730.80052580623</v>
      </c>
      <c r="I33" s="63">
        <f t="shared" si="11"/>
        <v>-117730.80052580623</v>
      </c>
      <c r="J33" s="63">
        <f t="shared" si="11"/>
        <v>-117730.80052580623</v>
      </c>
      <c r="K33" s="63">
        <f t="shared" si="11"/>
        <v>-117730.80052580623</v>
      </c>
      <c r="L33" s="63">
        <f t="shared" si="11"/>
        <v>-117730.80052580623</v>
      </c>
      <c r="M33" s="63">
        <f t="shared" si="11"/>
        <v>-117730.80052580623</v>
      </c>
      <c r="N33" s="63">
        <f t="shared" si="11"/>
        <v>-117730.80052580623</v>
      </c>
      <c r="O33" s="63">
        <f t="shared" si="11"/>
        <v>-117730.80052580623</v>
      </c>
      <c r="P33" s="63">
        <f t="shared" si="11"/>
        <v>-117730.80052580623</v>
      </c>
      <c r="Q33" s="63">
        <f t="shared" si="11"/>
        <v>-117730.80052580623</v>
      </c>
      <c r="R33" s="63">
        <f t="shared" si="11"/>
        <v>-117730.80052580623</v>
      </c>
      <c r="S33" s="63">
        <f t="shared" si="11"/>
        <v>-117730.80052580623</v>
      </c>
      <c r="T33" s="63">
        <f t="shared" si="11"/>
        <v>-117730.80052580623</v>
      </c>
      <c r="U33" s="63">
        <f t="shared" si="11"/>
        <v>-117730.80052580623</v>
      </c>
      <c r="V33" s="63">
        <f t="shared" si="11"/>
        <v>-117730.80052580623</v>
      </c>
    </row>
    <row r="34" spans="1:31" x14ac:dyDescent="0.25">
      <c r="A34" s="53" t="s">
        <v>21</v>
      </c>
      <c r="B34" s="62">
        <f>B32-B33</f>
        <v>0</v>
      </c>
      <c r="C34" s="63">
        <f t="shared" ref="C34:R34" si="12">C32-C33</f>
        <v>-26269.199474193767</v>
      </c>
      <c r="D34" s="63">
        <f t="shared" si="12"/>
        <v>-23069.199474193767</v>
      </c>
      <c r="E34" s="63">
        <f t="shared" si="12"/>
        <v>-19869.199474193767</v>
      </c>
      <c r="F34" s="63">
        <f t="shared" si="12"/>
        <v>-16669.199474193767</v>
      </c>
      <c r="G34" s="63">
        <f t="shared" si="12"/>
        <v>-13469.199474193767</v>
      </c>
      <c r="H34" s="63">
        <f t="shared" si="12"/>
        <v>-10269.199474193767</v>
      </c>
      <c r="I34" s="63">
        <f t="shared" si="12"/>
        <v>-7069.1994741937669</v>
      </c>
      <c r="J34" s="63">
        <f t="shared" si="12"/>
        <v>-3869.1994741937669</v>
      </c>
      <c r="K34" s="63">
        <f t="shared" si="12"/>
        <v>-669.19947419376695</v>
      </c>
      <c r="L34" s="63">
        <f t="shared" si="12"/>
        <v>2530.8005258062331</v>
      </c>
      <c r="M34" s="63">
        <f t="shared" si="12"/>
        <v>5730.8005258062331</v>
      </c>
      <c r="N34" s="63">
        <f t="shared" si="12"/>
        <v>8930.8005258062331</v>
      </c>
      <c r="O34" s="63">
        <f t="shared" si="12"/>
        <v>12130.800525806233</v>
      </c>
      <c r="P34" s="63">
        <f t="shared" si="12"/>
        <v>15330.800525806233</v>
      </c>
      <c r="Q34" s="63">
        <f t="shared" si="12"/>
        <v>18530.800525806233</v>
      </c>
      <c r="R34" s="63">
        <f t="shared" si="12"/>
        <v>21730.800525806233</v>
      </c>
      <c r="S34" s="63">
        <f>S32-S33</f>
        <v>24930.800525806233</v>
      </c>
      <c r="T34" s="63">
        <f>T32-T33</f>
        <v>28130.800525806233</v>
      </c>
      <c r="U34" s="63">
        <f>U32-U33</f>
        <v>31330.800525806233</v>
      </c>
      <c r="V34" s="63">
        <f>V32-V33</f>
        <v>34530.800525806233</v>
      </c>
      <c r="Z34" s="2" t="s">
        <v>0</v>
      </c>
    </row>
    <row r="35" spans="1:31" x14ac:dyDescent="0.25">
      <c r="Z35" s="2" t="s">
        <v>0</v>
      </c>
      <c r="AC35" s="2" t="s">
        <v>0</v>
      </c>
    </row>
    <row r="36" spans="1:31" x14ac:dyDescent="0.25">
      <c r="A36" s="60" t="s">
        <v>22</v>
      </c>
      <c r="AE36" s="2" t="s">
        <v>0</v>
      </c>
    </row>
    <row r="37" spans="1:31" x14ac:dyDescent="0.25">
      <c r="AA37" s="2" t="s">
        <v>0</v>
      </c>
    </row>
    <row r="38" spans="1:31" x14ac:dyDescent="0.25">
      <c r="A38" s="53" t="s">
        <v>10</v>
      </c>
      <c r="B38" s="2">
        <v>1600000</v>
      </c>
    </row>
    <row r="39" spans="1:31" x14ac:dyDescent="0.25">
      <c r="A39" s="53" t="s">
        <v>2</v>
      </c>
      <c r="B39" s="61">
        <v>0.04</v>
      </c>
    </row>
    <row r="40" spans="1:31" x14ac:dyDescent="0.25">
      <c r="A40" s="53" t="s">
        <v>11</v>
      </c>
      <c r="B40" s="2">
        <v>20</v>
      </c>
      <c r="AC40" s="2" t="s">
        <v>0</v>
      </c>
    </row>
    <row r="41" spans="1:31" x14ac:dyDescent="0.25">
      <c r="A41" s="53" t="s">
        <v>3</v>
      </c>
      <c r="B41" s="2">
        <f>-1*PMT(B39,B40,B38)</f>
        <v>117730.80052580623</v>
      </c>
      <c r="F41" s="2" t="s">
        <v>0</v>
      </c>
    </row>
    <row r="42" spans="1:31" x14ac:dyDescent="0.25">
      <c r="A42" s="53" t="s">
        <v>1</v>
      </c>
      <c r="B42" s="61">
        <v>0.22</v>
      </c>
    </row>
    <row r="43" spans="1:31" x14ac:dyDescent="0.25">
      <c r="B43" s="126" t="s">
        <v>41</v>
      </c>
      <c r="C43" s="126"/>
      <c r="D43" s="126"/>
      <c r="E43" s="126"/>
      <c r="F43" s="126"/>
      <c r="G43" s="126"/>
      <c r="H43" s="126"/>
      <c r="I43" s="126"/>
      <c r="J43" s="126"/>
      <c r="K43" s="126"/>
      <c r="L43" s="126"/>
      <c r="M43" s="126"/>
      <c r="N43" s="126"/>
      <c r="O43" s="126"/>
      <c r="P43" s="126"/>
      <c r="Q43" s="126"/>
      <c r="R43" s="126"/>
      <c r="S43" s="126"/>
      <c r="T43" s="126"/>
      <c r="U43" s="126"/>
      <c r="V43" s="126"/>
    </row>
    <row r="44" spans="1:31" x14ac:dyDescent="0.25">
      <c r="A44" s="53" t="s">
        <v>60</v>
      </c>
      <c r="B44" s="62">
        <v>0</v>
      </c>
      <c r="C44" s="2">
        <v>1</v>
      </c>
      <c r="D44" s="2">
        <v>2</v>
      </c>
      <c r="E44" s="2">
        <v>3</v>
      </c>
      <c r="F44" s="2">
        <v>4</v>
      </c>
      <c r="G44" s="2">
        <v>5</v>
      </c>
      <c r="H44" s="2">
        <v>6</v>
      </c>
      <c r="I44" s="2">
        <v>7</v>
      </c>
      <c r="J44" s="2">
        <v>8</v>
      </c>
      <c r="K44" s="2">
        <v>9</v>
      </c>
      <c r="L44" s="2">
        <v>10</v>
      </c>
      <c r="M44" s="2">
        <v>11</v>
      </c>
      <c r="N44" s="2">
        <v>12</v>
      </c>
      <c r="O44" s="2">
        <v>13</v>
      </c>
      <c r="P44" s="2">
        <v>14</v>
      </c>
      <c r="Q44" s="2">
        <v>15</v>
      </c>
      <c r="R44" s="2">
        <v>16</v>
      </c>
      <c r="S44" s="2">
        <v>17</v>
      </c>
      <c r="T44" s="2">
        <v>18</v>
      </c>
      <c r="U44" s="2">
        <v>19</v>
      </c>
      <c r="V44" s="2">
        <v>20</v>
      </c>
      <c r="W44" s="62" t="s">
        <v>24</v>
      </c>
    </row>
    <row r="45" spans="1:31" x14ac:dyDescent="0.25">
      <c r="A45" s="53" t="s">
        <v>26</v>
      </c>
      <c r="B45" s="62">
        <f>B38</f>
        <v>1600000</v>
      </c>
      <c r="C45" s="2">
        <f>B45+C46</f>
        <v>1520000</v>
      </c>
      <c r="D45" s="2">
        <f t="shared" ref="D45:V45" si="13">C45+D46</f>
        <v>1440000</v>
      </c>
      <c r="E45" s="2">
        <f t="shared" si="13"/>
        <v>1360000</v>
      </c>
      <c r="F45" s="2">
        <f t="shared" si="13"/>
        <v>1280000</v>
      </c>
      <c r="G45" s="2">
        <f t="shared" si="13"/>
        <v>1200000</v>
      </c>
      <c r="H45" s="2">
        <f t="shared" si="13"/>
        <v>1120000</v>
      </c>
      <c r="I45" s="2">
        <f t="shared" si="13"/>
        <v>1040000</v>
      </c>
      <c r="J45" s="2">
        <f t="shared" si="13"/>
        <v>960000</v>
      </c>
      <c r="K45" s="2">
        <f t="shared" si="13"/>
        <v>880000</v>
      </c>
      <c r="L45" s="2">
        <f t="shared" si="13"/>
        <v>800000</v>
      </c>
      <c r="M45" s="2">
        <f t="shared" si="13"/>
        <v>720000</v>
      </c>
      <c r="N45" s="2">
        <f t="shared" si="13"/>
        <v>640000</v>
      </c>
      <c r="O45" s="2">
        <f t="shared" si="13"/>
        <v>560000</v>
      </c>
      <c r="P45" s="2">
        <f t="shared" si="13"/>
        <v>480000</v>
      </c>
      <c r="Q45" s="2">
        <f t="shared" si="13"/>
        <v>400000</v>
      </c>
      <c r="R45" s="2">
        <f t="shared" si="13"/>
        <v>320000</v>
      </c>
      <c r="S45" s="2">
        <f t="shared" si="13"/>
        <v>240000</v>
      </c>
      <c r="T45" s="2">
        <f t="shared" si="13"/>
        <v>160000</v>
      </c>
      <c r="U45" s="2">
        <f t="shared" si="13"/>
        <v>80000</v>
      </c>
      <c r="V45" s="2">
        <f t="shared" si="13"/>
        <v>0</v>
      </c>
    </row>
    <row r="46" spans="1:31" x14ac:dyDescent="0.25">
      <c r="A46" s="53" t="s">
        <v>6</v>
      </c>
      <c r="B46" s="62"/>
      <c r="C46" s="2">
        <f>-$B$2/$B$4</f>
        <v>-80000</v>
      </c>
      <c r="D46" s="2">
        <f t="shared" ref="D46:V46" si="14">-$B$2/$B$4</f>
        <v>-80000</v>
      </c>
      <c r="E46" s="2">
        <f t="shared" si="14"/>
        <v>-80000</v>
      </c>
      <c r="F46" s="2">
        <f t="shared" si="14"/>
        <v>-80000</v>
      </c>
      <c r="G46" s="2">
        <f t="shared" si="14"/>
        <v>-80000</v>
      </c>
      <c r="H46" s="2">
        <f t="shared" si="14"/>
        <v>-80000</v>
      </c>
      <c r="I46" s="2">
        <f t="shared" si="14"/>
        <v>-80000</v>
      </c>
      <c r="J46" s="2">
        <f t="shared" si="14"/>
        <v>-80000</v>
      </c>
      <c r="K46" s="2">
        <f t="shared" si="14"/>
        <v>-80000</v>
      </c>
      <c r="L46" s="2">
        <f t="shared" si="14"/>
        <v>-80000</v>
      </c>
      <c r="M46" s="2">
        <f t="shared" si="14"/>
        <v>-80000</v>
      </c>
      <c r="N46" s="2">
        <f t="shared" si="14"/>
        <v>-80000</v>
      </c>
      <c r="O46" s="2">
        <f t="shared" si="14"/>
        <v>-80000</v>
      </c>
      <c r="P46" s="2">
        <f t="shared" si="14"/>
        <v>-80000</v>
      </c>
      <c r="Q46" s="2">
        <f t="shared" si="14"/>
        <v>-80000</v>
      </c>
      <c r="R46" s="2">
        <f t="shared" si="14"/>
        <v>-80000</v>
      </c>
      <c r="S46" s="2">
        <f t="shared" si="14"/>
        <v>-80000</v>
      </c>
      <c r="T46" s="2">
        <f t="shared" si="14"/>
        <v>-80000</v>
      </c>
      <c r="U46" s="2">
        <f t="shared" si="14"/>
        <v>-80000</v>
      </c>
      <c r="V46" s="2">
        <f t="shared" si="14"/>
        <v>-80000</v>
      </c>
    </row>
    <row r="47" spans="1:31" x14ac:dyDescent="0.25">
      <c r="A47" s="53" t="s">
        <v>16</v>
      </c>
      <c r="B47" s="62"/>
      <c r="C47" s="2">
        <f>-(B45*$B$3)</f>
        <v>-64000</v>
      </c>
      <c r="D47" s="2">
        <f t="shared" ref="D47:V47" si="15">-(C45*$B$3)</f>
        <v>-60800</v>
      </c>
      <c r="E47" s="2">
        <f t="shared" si="15"/>
        <v>-57600</v>
      </c>
      <c r="F47" s="2">
        <f t="shared" si="15"/>
        <v>-54400</v>
      </c>
      <c r="G47" s="2">
        <f t="shared" si="15"/>
        <v>-51200</v>
      </c>
      <c r="H47" s="2">
        <f t="shared" si="15"/>
        <v>-48000</v>
      </c>
      <c r="I47" s="2">
        <f t="shared" si="15"/>
        <v>-44800</v>
      </c>
      <c r="J47" s="2">
        <f t="shared" si="15"/>
        <v>-41600</v>
      </c>
      <c r="K47" s="2">
        <f t="shared" si="15"/>
        <v>-38400</v>
      </c>
      <c r="L47" s="2">
        <f t="shared" si="15"/>
        <v>-35200</v>
      </c>
      <c r="M47" s="2">
        <f t="shared" si="15"/>
        <v>-32000</v>
      </c>
      <c r="N47" s="2">
        <f t="shared" si="15"/>
        <v>-28800</v>
      </c>
      <c r="O47" s="2">
        <f t="shared" si="15"/>
        <v>-25600</v>
      </c>
      <c r="P47" s="2">
        <f t="shared" si="15"/>
        <v>-22400</v>
      </c>
      <c r="Q47" s="2">
        <f t="shared" si="15"/>
        <v>-19200</v>
      </c>
      <c r="R47" s="2">
        <f t="shared" si="15"/>
        <v>-16000</v>
      </c>
      <c r="S47" s="2">
        <f t="shared" si="15"/>
        <v>-12800</v>
      </c>
      <c r="T47" s="2">
        <f t="shared" si="15"/>
        <v>-9600</v>
      </c>
      <c r="U47" s="2">
        <f t="shared" si="15"/>
        <v>-6400</v>
      </c>
      <c r="V47" s="2">
        <f t="shared" si="15"/>
        <v>-3200</v>
      </c>
      <c r="AB47" s="2" t="s">
        <v>0</v>
      </c>
    </row>
    <row r="48" spans="1:31" x14ac:dyDescent="0.25">
      <c r="A48" s="53" t="s">
        <v>23</v>
      </c>
      <c r="B48" s="62"/>
      <c r="C48" s="2">
        <f>C47*(1-$B$42)</f>
        <v>-49920</v>
      </c>
      <c r="D48" s="2">
        <f t="shared" ref="D48:S48" si="16">D47*(1-$B$42)</f>
        <v>-47424</v>
      </c>
      <c r="E48" s="2">
        <f t="shared" si="16"/>
        <v>-44928</v>
      </c>
      <c r="F48" s="2">
        <f t="shared" si="16"/>
        <v>-42432</v>
      </c>
      <c r="G48" s="2">
        <f t="shared" si="16"/>
        <v>-39936</v>
      </c>
      <c r="H48" s="2">
        <f t="shared" si="16"/>
        <v>-37440</v>
      </c>
      <c r="I48" s="2">
        <f t="shared" si="16"/>
        <v>-34944</v>
      </c>
      <c r="J48" s="2">
        <f t="shared" si="16"/>
        <v>-32448</v>
      </c>
      <c r="K48" s="2">
        <f t="shared" si="16"/>
        <v>-29952</v>
      </c>
      <c r="L48" s="2">
        <f t="shared" si="16"/>
        <v>-27456</v>
      </c>
      <c r="M48" s="2">
        <f t="shared" si="16"/>
        <v>-24960</v>
      </c>
      <c r="N48" s="2">
        <f t="shared" si="16"/>
        <v>-22464</v>
      </c>
      <c r="O48" s="2">
        <f t="shared" si="16"/>
        <v>-19968</v>
      </c>
      <c r="P48" s="2">
        <f t="shared" si="16"/>
        <v>-17472</v>
      </c>
      <c r="Q48" s="2">
        <f t="shared" si="16"/>
        <v>-14976</v>
      </c>
      <c r="R48" s="2">
        <f t="shared" si="16"/>
        <v>-12480</v>
      </c>
      <c r="S48" s="2">
        <f t="shared" si="16"/>
        <v>-9984</v>
      </c>
      <c r="T48" s="2">
        <f>T47*(1-$B$42)</f>
        <v>-7488</v>
      </c>
      <c r="U48" s="2">
        <f>U47*(1-$B$42)</f>
        <v>-4992</v>
      </c>
      <c r="V48" s="2">
        <f>V47*(1-$B$42)</f>
        <v>-2496</v>
      </c>
      <c r="Z48" s="2" t="s">
        <v>0</v>
      </c>
      <c r="AB48" s="2" t="s">
        <v>0</v>
      </c>
    </row>
    <row r="49" spans="1:29" x14ac:dyDescent="0.25">
      <c r="A49" s="53" t="s">
        <v>17</v>
      </c>
      <c r="B49" s="23"/>
      <c r="C49" s="1" t="s">
        <v>0</v>
      </c>
      <c r="D49" s="1"/>
      <c r="E49" s="1"/>
      <c r="F49" s="1"/>
      <c r="G49" s="1"/>
      <c r="H49" s="1"/>
      <c r="I49" s="1"/>
      <c r="J49" s="1"/>
      <c r="K49" s="1"/>
      <c r="L49" s="1"/>
      <c r="M49" s="1"/>
      <c r="N49" s="1"/>
      <c r="O49" s="1"/>
      <c r="P49" s="1"/>
      <c r="Q49" s="1"/>
      <c r="R49" s="1"/>
      <c r="S49" s="1"/>
      <c r="T49" s="1"/>
      <c r="U49" s="1"/>
      <c r="V49" s="1"/>
    </row>
    <row r="50" spans="1:29" x14ac:dyDescent="0.25">
      <c r="A50" s="53" t="s">
        <v>5</v>
      </c>
      <c r="B50" s="62">
        <f>B45</f>
        <v>1600000</v>
      </c>
      <c r="C50" s="2">
        <f>C46+C47</f>
        <v>-144000</v>
      </c>
      <c r="D50" s="2">
        <f t="shared" ref="D50:V50" si="17">D46+D47</f>
        <v>-140800</v>
      </c>
      <c r="E50" s="2">
        <f t="shared" si="17"/>
        <v>-137600</v>
      </c>
      <c r="F50" s="2">
        <f t="shared" si="17"/>
        <v>-134400</v>
      </c>
      <c r="G50" s="2">
        <f t="shared" si="17"/>
        <v>-131200</v>
      </c>
      <c r="H50" s="2">
        <f t="shared" si="17"/>
        <v>-128000</v>
      </c>
      <c r="I50" s="2">
        <f t="shared" si="17"/>
        <v>-124800</v>
      </c>
      <c r="J50" s="2">
        <f t="shared" si="17"/>
        <v>-121600</v>
      </c>
      <c r="K50" s="2">
        <f t="shared" si="17"/>
        <v>-118400</v>
      </c>
      <c r="L50" s="2">
        <f t="shared" si="17"/>
        <v>-115200</v>
      </c>
      <c r="M50" s="2">
        <f t="shared" si="17"/>
        <v>-112000</v>
      </c>
      <c r="N50" s="2">
        <f t="shared" si="17"/>
        <v>-108800</v>
      </c>
      <c r="O50" s="2">
        <f t="shared" si="17"/>
        <v>-105600</v>
      </c>
      <c r="P50" s="2">
        <f t="shared" si="17"/>
        <v>-102400</v>
      </c>
      <c r="Q50" s="2">
        <f t="shared" si="17"/>
        <v>-99200</v>
      </c>
      <c r="R50" s="2">
        <f t="shared" si="17"/>
        <v>-96000</v>
      </c>
      <c r="S50" s="2">
        <f t="shared" si="17"/>
        <v>-92800</v>
      </c>
      <c r="T50" s="2">
        <f t="shared" si="17"/>
        <v>-89600</v>
      </c>
      <c r="U50" s="2">
        <f t="shared" si="17"/>
        <v>-86400</v>
      </c>
      <c r="V50" s="2">
        <f t="shared" si="17"/>
        <v>-83200</v>
      </c>
      <c r="W50" s="70">
        <f>IRR(B50:V50)</f>
        <v>4.0000000000000036E-2</v>
      </c>
    </row>
    <row r="51" spans="1:29" x14ac:dyDescent="0.25">
      <c r="A51" s="53" t="s">
        <v>17</v>
      </c>
      <c r="B51" s="62"/>
      <c r="W51" s="70" t="s">
        <v>0</v>
      </c>
    </row>
    <row r="52" spans="1:29" x14ac:dyDescent="0.25">
      <c r="A52" s="53" t="s">
        <v>7</v>
      </c>
      <c r="B52" s="62">
        <f>B45</f>
        <v>1600000</v>
      </c>
      <c r="C52" s="2">
        <f>C46+C48</f>
        <v>-129920</v>
      </c>
      <c r="D52" s="2">
        <f t="shared" ref="D52:V52" si="18">D46+D48</f>
        <v>-127424</v>
      </c>
      <c r="E52" s="2">
        <f t="shared" si="18"/>
        <v>-124928</v>
      </c>
      <c r="F52" s="2">
        <f t="shared" si="18"/>
        <v>-122432</v>
      </c>
      <c r="G52" s="2">
        <f t="shared" si="18"/>
        <v>-119936</v>
      </c>
      <c r="H52" s="2">
        <f t="shared" si="18"/>
        <v>-117440</v>
      </c>
      <c r="I52" s="2">
        <f t="shared" si="18"/>
        <v>-114944</v>
      </c>
      <c r="J52" s="2">
        <f t="shared" si="18"/>
        <v>-112448</v>
      </c>
      <c r="K52" s="2">
        <f t="shared" si="18"/>
        <v>-109952</v>
      </c>
      <c r="L52" s="2">
        <f t="shared" si="18"/>
        <v>-107456</v>
      </c>
      <c r="M52" s="2">
        <f t="shared" si="18"/>
        <v>-104960</v>
      </c>
      <c r="N52" s="2">
        <f t="shared" si="18"/>
        <v>-102464</v>
      </c>
      <c r="O52" s="2">
        <f t="shared" si="18"/>
        <v>-99968</v>
      </c>
      <c r="P52" s="2">
        <f t="shared" si="18"/>
        <v>-97472</v>
      </c>
      <c r="Q52" s="2">
        <f t="shared" si="18"/>
        <v>-94976</v>
      </c>
      <c r="R52" s="2">
        <f t="shared" si="18"/>
        <v>-92480</v>
      </c>
      <c r="S52" s="2">
        <f t="shared" si="18"/>
        <v>-89984</v>
      </c>
      <c r="T52" s="2">
        <f t="shared" si="18"/>
        <v>-87488</v>
      </c>
      <c r="U52" s="2">
        <f t="shared" si="18"/>
        <v>-84992</v>
      </c>
      <c r="V52" s="2">
        <f t="shared" si="18"/>
        <v>-82496</v>
      </c>
      <c r="W52" s="70">
        <f>IRR(B52:V52)</f>
        <v>3.119999999999945E-2</v>
      </c>
    </row>
    <row r="53" spans="1:29" x14ac:dyDescent="0.25">
      <c r="B53" s="126" t="s">
        <v>41</v>
      </c>
      <c r="C53" s="126"/>
      <c r="D53" s="126"/>
      <c r="E53" s="126"/>
      <c r="F53" s="126"/>
      <c r="G53" s="126"/>
      <c r="H53" s="126"/>
      <c r="I53" s="126"/>
      <c r="J53" s="126"/>
      <c r="K53" s="126"/>
      <c r="L53" s="126"/>
      <c r="M53" s="126"/>
      <c r="N53" s="126"/>
      <c r="O53" s="126"/>
      <c r="P53" s="126"/>
      <c r="Q53" s="126"/>
      <c r="R53" s="126"/>
      <c r="S53" s="126"/>
      <c r="T53" s="126"/>
      <c r="U53" s="126"/>
      <c r="V53" s="126"/>
    </row>
    <row r="54" spans="1:29" x14ac:dyDescent="0.25">
      <c r="A54" s="53" t="s">
        <v>61</v>
      </c>
      <c r="B54" s="62">
        <v>0</v>
      </c>
      <c r="C54" s="2">
        <v>1</v>
      </c>
      <c r="D54" s="2">
        <v>2</v>
      </c>
      <c r="E54" s="2">
        <v>3</v>
      </c>
      <c r="F54" s="2">
        <v>4</v>
      </c>
      <c r="G54" s="2">
        <v>5</v>
      </c>
      <c r="H54" s="2">
        <v>6</v>
      </c>
      <c r="I54" s="2">
        <v>7</v>
      </c>
      <c r="J54" s="2">
        <v>8</v>
      </c>
      <c r="K54" s="2">
        <v>9</v>
      </c>
      <c r="L54" s="2">
        <v>10</v>
      </c>
      <c r="M54" s="2">
        <v>11</v>
      </c>
      <c r="N54" s="2">
        <v>12</v>
      </c>
      <c r="O54" s="2">
        <v>13</v>
      </c>
      <c r="P54" s="2">
        <v>14</v>
      </c>
      <c r="Q54" s="2">
        <v>15</v>
      </c>
      <c r="R54" s="2">
        <v>16</v>
      </c>
      <c r="S54" s="2">
        <v>17</v>
      </c>
      <c r="T54" s="2">
        <v>18</v>
      </c>
      <c r="U54" s="2">
        <v>19</v>
      </c>
      <c r="V54" s="2">
        <v>20</v>
      </c>
      <c r="W54" s="62" t="s">
        <v>24</v>
      </c>
    </row>
    <row r="55" spans="1:29" x14ac:dyDescent="0.25">
      <c r="A55" s="53" t="s">
        <v>26</v>
      </c>
      <c r="B55" s="2">
        <f>B38</f>
        <v>1600000</v>
      </c>
      <c r="C55" s="2">
        <f>B55+C56</f>
        <v>1546269.1994741939</v>
      </c>
      <c r="D55" s="2">
        <f t="shared" ref="D55:V55" si="19">C55+D56</f>
        <v>1490389.1669273553</v>
      </c>
      <c r="E55" s="2">
        <f t="shared" si="19"/>
        <v>1432273.9330786434</v>
      </c>
      <c r="F55" s="2">
        <f t="shared" si="19"/>
        <v>1371834.0898759828</v>
      </c>
      <c r="G55" s="2">
        <f t="shared" si="19"/>
        <v>1308976.6529452158</v>
      </c>
      <c r="H55" s="2">
        <f t="shared" si="19"/>
        <v>1243604.9185372181</v>
      </c>
      <c r="I55" s="2">
        <f t="shared" si="19"/>
        <v>1175618.3147529005</v>
      </c>
      <c r="J55" s="2">
        <f t="shared" si="19"/>
        <v>1104912.2468172102</v>
      </c>
      <c r="K55" s="2">
        <f t="shared" si="19"/>
        <v>1031377.9361640924</v>
      </c>
      <c r="L55" s="2">
        <f t="shared" si="19"/>
        <v>954902.2530848498</v>
      </c>
      <c r="M55" s="2">
        <f t="shared" si="19"/>
        <v>875367.54268243758</v>
      </c>
      <c r="N55" s="2">
        <f t="shared" si="19"/>
        <v>792651.44386392878</v>
      </c>
      <c r="O55" s="2">
        <f t="shared" si="19"/>
        <v>706626.70109267975</v>
      </c>
      <c r="P55" s="2">
        <f t="shared" si="19"/>
        <v>617160.96861058066</v>
      </c>
      <c r="Q55" s="2">
        <f t="shared" si="19"/>
        <v>524116.60682919767</v>
      </c>
      <c r="R55" s="2">
        <f t="shared" si="19"/>
        <v>427350.47057655931</v>
      </c>
      <c r="S55" s="2">
        <f t="shared" si="19"/>
        <v>326713.68887381547</v>
      </c>
      <c r="T55" s="2">
        <f t="shared" si="19"/>
        <v>222051.43590296185</v>
      </c>
      <c r="U55" s="2">
        <f t="shared" si="19"/>
        <v>113202.69281327409</v>
      </c>
      <c r="V55" s="2">
        <f t="shared" si="19"/>
        <v>-1.178705133497715E-9</v>
      </c>
    </row>
    <row r="56" spans="1:29" x14ac:dyDescent="0.25">
      <c r="A56" s="53" t="s">
        <v>6</v>
      </c>
      <c r="C56" s="2">
        <f>-$B$5-C57</f>
        <v>-53730.800525806233</v>
      </c>
      <c r="D56" s="2">
        <f t="shared" ref="D56:V56" si="20">-$B$5-D57</f>
        <v>-55880.032546838476</v>
      </c>
      <c r="E56" s="2">
        <f t="shared" si="20"/>
        <v>-58115.233848712021</v>
      </c>
      <c r="F56" s="2">
        <f t="shared" si="20"/>
        <v>-60439.843202660493</v>
      </c>
      <c r="G56" s="2">
        <f t="shared" si="20"/>
        <v>-62857.436930766919</v>
      </c>
      <c r="H56" s="2">
        <f t="shared" si="20"/>
        <v>-65371.734407997603</v>
      </c>
      <c r="I56" s="2">
        <f t="shared" si="20"/>
        <v>-67986.6037843175</v>
      </c>
      <c r="J56" s="2">
        <f t="shared" si="20"/>
        <v>-70706.067935690211</v>
      </c>
      <c r="K56" s="2">
        <f t="shared" si="20"/>
        <v>-73534.31065311782</v>
      </c>
      <c r="L56" s="2">
        <f t="shared" si="20"/>
        <v>-76475.683079242532</v>
      </c>
      <c r="M56" s="2">
        <f t="shared" si="20"/>
        <v>-79534.710402412238</v>
      </c>
      <c r="N56" s="2">
        <f t="shared" si="20"/>
        <v>-82716.098818508734</v>
      </c>
      <c r="O56" s="2">
        <f t="shared" si="20"/>
        <v>-86024.74277124909</v>
      </c>
      <c r="P56" s="2">
        <f t="shared" si="20"/>
        <v>-89465.732482099047</v>
      </c>
      <c r="Q56" s="2">
        <f t="shared" si="20"/>
        <v>-93044.361781383006</v>
      </c>
      <c r="R56" s="2">
        <f t="shared" si="20"/>
        <v>-96766.136252638331</v>
      </c>
      <c r="S56" s="2">
        <f t="shared" si="20"/>
        <v>-100636.78170274386</v>
      </c>
      <c r="T56" s="2">
        <f t="shared" si="20"/>
        <v>-104662.25297085362</v>
      </c>
      <c r="U56" s="2">
        <f t="shared" si="20"/>
        <v>-108848.74308968776</v>
      </c>
      <c r="V56" s="2">
        <f t="shared" si="20"/>
        <v>-113202.69281327527</v>
      </c>
    </row>
    <row r="57" spans="1:29" x14ac:dyDescent="0.25">
      <c r="A57" s="53" t="s">
        <v>16</v>
      </c>
      <c r="C57" s="2">
        <f>-$B$3*B55</f>
        <v>-64000</v>
      </c>
      <c r="D57" s="2">
        <f t="shared" ref="D57:V57" si="21">-$B$3*C55</f>
        <v>-61850.767978967757</v>
      </c>
      <c r="E57" s="2">
        <f t="shared" si="21"/>
        <v>-59615.566677094212</v>
      </c>
      <c r="F57" s="2">
        <f t="shared" si="21"/>
        <v>-57290.95732314574</v>
      </c>
      <c r="G57" s="2">
        <f t="shared" si="21"/>
        <v>-54873.363595039315</v>
      </c>
      <c r="H57" s="2">
        <f t="shared" si="21"/>
        <v>-52359.06611780863</v>
      </c>
      <c r="I57" s="2">
        <f t="shared" si="21"/>
        <v>-49744.196741488726</v>
      </c>
      <c r="J57" s="2">
        <f t="shared" si="21"/>
        <v>-47024.732590116022</v>
      </c>
      <c r="K57" s="2">
        <f t="shared" si="21"/>
        <v>-44196.489872688413</v>
      </c>
      <c r="L57" s="2">
        <f t="shared" si="21"/>
        <v>-41255.117446563694</v>
      </c>
      <c r="M57" s="2">
        <f t="shared" si="21"/>
        <v>-38196.090123393995</v>
      </c>
      <c r="N57" s="2">
        <f t="shared" si="21"/>
        <v>-35014.701707297507</v>
      </c>
      <c r="O57" s="2">
        <f t="shared" si="21"/>
        <v>-31706.05775455715</v>
      </c>
      <c r="P57" s="2">
        <f t="shared" si="21"/>
        <v>-28265.06804370719</v>
      </c>
      <c r="Q57" s="2">
        <f t="shared" si="21"/>
        <v>-24686.438744423227</v>
      </c>
      <c r="R57" s="2">
        <f t="shared" si="21"/>
        <v>-20964.664273167906</v>
      </c>
      <c r="S57" s="2">
        <f t="shared" si="21"/>
        <v>-17094.018823062372</v>
      </c>
      <c r="T57" s="2">
        <f t="shared" si="21"/>
        <v>-13068.547554952618</v>
      </c>
      <c r="U57" s="2">
        <f t="shared" si="21"/>
        <v>-8882.0574361184736</v>
      </c>
      <c r="V57" s="2">
        <f t="shared" si="21"/>
        <v>-4528.1077125309639</v>
      </c>
      <c r="AC57" s="2" t="s">
        <v>0</v>
      </c>
    </row>
    <row r="58" spans="1:29" x14ac:dyDescent="0.25">
      <c r="A58" s="53" t="s">
        <v>23</v>
      </c>
      <c r="C58" s="2">
        <f>C57*(1-$B$42)</f>
        <v>-49920</v>
      </c>
      <c r="D58" s="2">
        <f t="shared" ref="D58:V58" si="22">D57*(1-$B$42)</f>
        <v>-48243.599023594848</v>
      </c>
      <c r="E58" s="2">
        <f t="shared" si="22"/>
        <v>-46500.142008133487</v>
      </c>
      <c r="F58" s="2">
        <f t="shared" si="22"/>
        <v>-44686.946712053679</v>
      </c>
      <c r="G58" s="2">
        <f t="shared" si="22"/>
        <v>-42801.223604130668</v>
      </c>
      <c r="H58" s="2">
        <f t="shared" si="22"/>
        <v>-40840.07157189073</v>
      </c>
      <c r="I58" s="2">
        <f t="shared" si="22"/>
        <v>-38800.473458361208</v>
      </c>
      <c r="J58" s="2">
        <f t="shared" si="22"/>
        <v>-36679.291420290501</v>
      </c>
      <c r="K58" s="2">
        <f t="shared" si="22"/>
        <v>-34473.262100696964</v>
      </c>
      <c r="L58" s="2">
        <f t="shared" si="22"/>
        <v>-32178.991608319684</v>
      </c>
      <c r="M58" s="2">
        <f t="shared" si="22"/>
        <v>-29792.950296247316</v>
      </c>
      <c r="N58" s="2">
        <f t="shared" si="22"/>
        <v>-27311.467331692056</v>
      </c>
      <c r="O58" s="2">
        <f t="shared" si="22"/>
        <v>-24730.725048554577</v>
      </c>
      <c r="P58" s="2">
        <f t="shared" si="22"/>
        <v>-22046.753074091608</v>
      </c>
      <c r="Q58" s="2">
        <f t="shared" si="22"/>
        <v>-19255.422220650118</v>
      </c>
      <c r="R58" s="2">
        <f t="shared" si="22"/>
        <v>-16352.438133070968</v>
      </c>
      <c r="S58" s="2">
        <f t="shared" si="22"/>
        <v>-13333.33468198865</v>
      </c>
      <c r="T58" s="2">
        <f t="shared" si="22"/>
        <v>-10193.467092863042</v>
      </c>
      <c r="U58" s="2">
        <f t="shared" si="22"/>
        <v>-6928.0048001724099</v>
      </c>
      <c r="V58" s="2">
        <f t="shared" si="22"/>
        <v>-3531.9240157741519</v>
      </c>
    </row>
    <row r="59" spans="1:29" x14ac:dyDescent="0.25">
      <c r="A59" s="53" t="s">
        <v>17</v>
      </c>
      <c r="AA59" s="2" t="s">
        <v>0</v>
      </c>
      <c r="AC59" s="2" t="s">
        <v>0</v>
      </c>
    </row>
    <row r="60" spans="1:29" x14ac:dyDescent="0.25">
      <c r="A60" s="1" t="s">
        <v>5</v>
      </c>
      <c r="B60" s="2">
        <f>B55</f>
        <v>1600000</v>
      </c>
      <c r="C60" s="2">
        <f>C56+C57</f>
        <v>-117730.80052580623</v>
      </c>
      <c r="D60" s="2">
        <f t="shared" ref="D60:V60" si="23">D56+D57</f>
        <v>-117730.80052580623</v>
      </c>
      <c r="E60" s="2">
        <f t="shared" si="23"/>
        <v>-117730.80052580623</v>
      </c>
      <c r="F60" s="2">
        <f t="shared" si="23"/>
        <v>-117730.80052580623</v>
      </c>
      <c r="G60" s="2">
        <f t="shared" si="23"/>
        <v>-117730.80052580623</v>
      </c>
      <c r="H60" s="2">
        <f t="shared" si="23"/>
        <v>-117730.80052580623</v>
      </c>
      <c r="I60" s="2">
        <f t="shared" si="23"/>
        <v>-117730.80052580623</v>
      </c>
      <c r="J60" s="2">
        <f t="shared" si="23"/>
        <v>-117730.80052580623</v>
      </c>
      <c r="K60" s="2">
        <f t="shared" si="23"/>
        <v>-117730.80052580623</v>
      </c>
      <c r="L60" s="2">
        <f t="shared" si="23"/>
        <v>-117730.80052580623</v>
      </c>
      <c r="M60" s="2">
        <f t="shared" si="23"/>
        <v>-117730.80052580623</v>
      </c>
      <c r="N60" s="2">
        <f t="shared" si="23"/>
        <v>-117730.80052580623</v>
      </c>
      <c r="O60" s="2">
        <f t="shared" si="23"/>
        <v>-117730.80052580623</v>
      </c>
      <c r="P60" s="2">
        <f t="shared" si="23"/>
        <v>-117730.80052580623</v>
      </c>
      <c r="Q60" s="2">
        <f t="shared" si="23"/>
        <v>-117730.80052580623</v>
      </c>
      <c r="R60" s="2">
        <f t="shared" si="23"/>
        <v>-117730.80052580623</v>
      </c>
      <c r="S60" s="2">
        <f t="shared" si="23"/>
        <v>-117730.80052580623</v>
      </c>
      <c r="T60" s="2">
        <f t="shared" si="23"/>
        <v>-117730.80052580623</v>
      </c>
      <c r="U60" s="2">
        <f t="shared" si="23"/>
        <v>-117730.80052580623</v>
      </c>
      <c r="V60" s="2">
        <f t="shared" si="23"/>
        <v>-117730.80052580623</v>
      </c>
      <c r="W60" s="70">
        <f>IRR(B60:V60)</f>
        <v>4.0000000000000036E-2</v>
      </c>
    </row>
    <row r="61" spans="1:29" x14ac:dyDescent="0.25">
      <c r="A61" s="53" t="s">
        <v>17</v>
      </c>
      <c r="V61" s="1"/>
      <c r="W61" s="70" t="s">
        <v>0</v>
      </c>
    </row>
    <row r="62" spans="1:29" x14ac:dyDescent="0.25">
      <c r="A62" s="53" t="s">
        <v>7</v>
      </c>
      <c r="B62" s="2">
        <f>B55</f>
        <v>1600000</v>
      </c>
      <c r="C62" s="2">
        <f>C56+C58</f>
        <v>-103650.80052580623</v>
      </c>
      <c r="D62" s="2">
        <f t="shared" ref="D62:V62" si="24">D56+D58</f>
        <v>-104123.63157043332</v>
      </c>
      <c r="E62" s="2">
        <f t="shared" si="24"/>
        <v>-104615.37585684551</v>
      </c>
      <c r="F62" s="2">
        <f t="shared" si="24"/>
        <v>-105126.78991471417</v>
      </c>
      <c r="G62" s="2">
        <f t="shared" si="24"/>
        <v>-105658.66053489759</v>
      </c>
      <c r="H62" s="2">
        <f t="shared" si="24"/>
        <v>-106211.80597988833</v>
      </c>
      <c r="I62" s="2">
        <f t="shared" si="24"/>
        <v>-106787.0772426787</v>
      </c>
      <c r="J62" s="2">
        <f t="shared" si="24"/>
        <v>-107385.35935598071</v>
      </c>
      <c r="K62" s="2">
        <f t="shared" si="24"/>
        <v>-108007.57275381478</v>
      </c>
      <c r="L62" s="2">
        <f t="shared" si="24"/>
        <v>-108654.67468756222</v>
      </c>
      <c r="M62" s="2">
        <f t="shared" si="24"/>
        <v>-109327.66069865956</v>
      </c>
      <c r="N62" s="2">
        <f t="shared" si="24"/>
        <v>-110027.56615020079</v>
      </c>
      <c r="O62" s="2">
        <f t="shared" si="24"/>
        <v>-110755.46781980367</v>
      </c>
      <c r="P62" s="2">
        <f t="shared" si="24"/>
        <v>-111512.48555619066</v>
      </c>
      <c r="Q62" s="2">
        <f t="shared" si="24"/>
        <v>-112299.78400203312</v>
      </c>
      <c r="R62" s="2">
        <f t="shared" si="24"/>
        <v>-113118.5743857093</v>
      </c>
      <c r="S62" s="2">
        <f t="shared" si="24"/>
        <v>-113970.11638473251</v>
      </c>
      <c r="T62" s="2">
        <f t="shared" si="24"/>
        <v>-114855.72006371665</v>
      </c>
      <c r="U62" s="2">
        <f t="shared" si="24"/>
        <v>-115776.74788986017</v>
      </c>
      <c r="V62" s="2">
        <f t="shared" si="24"/>
        <v>-116734.61682904942</v>
      </c>
      <c r="W62" s="70">
        <f>IRR(B62:V62)</f>
        <v>3.1199999999999894E-2</v>
      </c>
    </row>
    <row r="63" spans="1:29" x14ac:dyDescent="0.25">
      <c r="W63" s="70"/>
    </row>
    <row r="64" spans="1:29" x14ac:dyDescent="0.25">
      <c r="A64" s="67" t="s">
        <v>17</v>
      </c>
      <c r="B64" s="1" t="s">
        <v>0</v>
      </c>
      <c r="C64" s="1"/>
      <c r="D64" s="1"/>
      <c r="E64" s="1"/>
      <c r="F64" s="1"/>
      <c r="G64" s="1"/>
      <c r="H64" s="1"/>
      <c r="I64" s="1"/>
      <c r="J64" s="1"/>
      <c r="K64" s="1"/>
      <c r="L64" s="1"/>
      <c r="M64" s="1"/>
      <c r="N64" s="1"/>
      <c r="O64" s="1"/>
      <c r="P64" s="1"/>
      <c r="Q64" s="1"/>
      <c r="R64" s="1"/>
      <c r="S64" s="1"/>
      <c r="T64" s="1"/>
      <c r="U64" s="1"/>
      <c r="V64" s="1"/>
      <c r="W64" s="1"/>
      <c r="AA64" s="2" t="s">
        <v>0</v>
      </c>
    </row>
    <row r="65" spans="1:30" x14ac:dyDescent="0.25">
      <c r="A65" s="67" t="s">
        <v>7</v>
      </c>
      <c r="B65" s="1"/>
      <c r="C65" s="1"/>
      <c r="D65" s="1"/>
      <c r="E65" s="1"/>
      <c r="F65" s="1"/>
      <c r="G65" s="1"/>
      <c r="H65" s="1"/>
      <c r="I65" s="1"/>
      <c r="J65" s="1"/>
      <c r="K65" s="1"/>
      <c r="L65" s="1"/>
      <c r="M65" s="1"/>
      <c r="N65" s="1"/>
      <c r="O65" s="1"/>
      <c r="P65" s="1"/>
      <c r="Q65" s="1"/>
      <c r="R65" s="1"/>
      <c r="S65" s="1"/>
      <c r="T65" s="1"/>
      <c r="U65" s="1"/>
      <c r="V65" s="1"/>
      <c r="W65" s="1"/>
    </row>
    <row r="66" spans="1:30" x14ac:dyDescent="0.25">
      <c r="A66" s="67"/>
      <c r="B66" s="126" t="s">
        <v>41</v>
      </c>
      <c r="C66" s="126"/>
      <c r="D66" s="126"/>
      <c r="E66" s="126"/>
      <c r="F66" s="126"/>
      <c r="G66" s="126"/>
      <c r="H66" s="126"/>
      <c r="I66" s="126"/>
      <c r="J66" s="126"/>
      <c r="K66" s="126"/>
      <c r="L66" s="126"/>
      <c r="M66" s="126"/>
      <c r="N66" s="126"/>
      <c r="O66" s="126"/>
      <c r="P66" s="126"/>
      <c r="Q66" s="126"/>
      <c r="R66" s="126"/>
      <c r="S66" s="126"/>
      <c r="T66" s="126"/>
      <c r="U66" s="126"/>
      <c r="V66" s="126"/>
      <c r="W66" s="1"/>
    </row>
    <row r="67" spans="1:30" x14ac:dyDescent="0.25">
      <c r="A67" s="2"/>
      <c r="B67" s="71">
        <v>0</v>
      </c>
      <c r="C67" s="63">
        <v>1</v>
      </c>
      <c r="D67" s="63">
        <v>2</v>
      </c>
      <c r="E67" s="63">
        <v>3</v>
      </c>
      <c r="F67" s="63">
        <v>4</v>
      </c>
      <c r="G67" s="63">
        <v>5</v>
      </c>
      <c r="H67" s="63">
        <v>6</v>
      </c>
      <c r="I67" s="63">
        <v>7</v>
      </c>
      <c r="J67" s="63">
        <v>8</v>
      </c>
      <c r="K67" s="63">
        <v>9</v>
      </c>
      <c r="L67" s="63">
        <v>10</v>
      </c>
      <c r="M67" s="63">
        <v>11</v>
      </c>
      <c r="N67" s="63">
        <v>12</v>
      </c>
      <c r="O67" s="63">
        <v>13</v>
      </c>
      <c r="P67" s="63">
        <v>14</v>
      </c>
      <c r="Q67" s="63">
        <v>15</v>
      </c>
      <c r="R67" s="63">
        <v>16</v>
      </c>
      <c r="S67" s="63">
        <v>17</v>
      </c>
      <c r="T67" s="63">
        <v>18</v>
      </c>
      <c r="U67" s="63">
        <v>19</v>
      </c>
      <c r="V67" s="63">
        <v>20</v>
      </c>
      <c r="W67" s="2" t="s">
        <v>24</v>
      </c>
      <c r="AA67" s="2" t="s">
        <v>0</v>
      </c>
    </row>
    <row r="68" spans="1:30" x14ac:dyDescent="0.25">
      <c r="A68" s="53" t="s">
        <v>15</v>
      </c>
      <c r="B68" s="71">
        <f>B52</f>
        <v>1600000</v>
      </c>
      <c r="C68" s="2">
        <f t="shared" ref="C68:V68" si="25">C52/((1+$B$6)^C67)</f>
        <v>-129920</v>
      </c>
      <c r="D68" s="2">
        <f t="shared" si="25"/>
        <v>-127424</v>
      </c>
      <c r="E68" s="2">
        <f t="shared" si="25"/>
        <v>-124928</v>
      </c>
      <c r="F68" s="2">
        <f t="shared" si="25"/>
        <v>-122432</v>
      </c>
      <c r="G68" s="2">
        <f t="shared" si="25"/>
        <v>-119936</v>
      </c>
      <c r="H68" s="2">
        <f t="shared" si="25"/>
        <v>-117440</v>
      </c>
      <c r="I68" s="2">
        <f t="shared" si="25"/>
        <v>-114944</v>
      </c>
      <c r="J68" s="2">
        <f t="shared" si="25"/>
        <v>-112448</v>
      </c>
      <c r="K68" s="2">
        <f t="shared" si="25"/>
        <v>-109952</v>
      </c>
      <c r="L68" s="2">
        <f t="shared" si="25"/>
        <v>-107456</v>
      </c>
      <c r="M68" s="2">
        <f t="shared" si="25"/>
        <v>-104960</v>
      </c>
      <c r="N68" s="2">
        <f t="shared" si="25"/>
        <v>-102464</v>
      </c>
      <c r="O68" s="2">
        <f t="shared" si="25"/>
        <v>-99968</v>
      </c>
      <c r="P68" s="2">
        <f t="shared" si="25"/>
        <v>-97472</v>
      </c>
      <c r="Q68" s="2">
        <f t="shared" si="25"/>
        <v>-94976</v>
      </c>
      <c r="R68" s="2">
        <f t="shared" si="25"/>
        <v>-92480</v>
      </c>
      <c r="S68" s="2">
        <f t="shared" si="25"/>
        <v>-89984</v>
      </c>
      <c r="T68" s="2">
        <f t="shared" si="25"/>
        <v>-87488</v>
      </c>
      <c r="U68" s="2">
        <f t="shared" si="25"/>
        <v>-84992</v>
      </c>
      <c r="V68" s="2">
        <f t="shared" si="25"/>
        <v>-82496</v>
      </c>
      <c r="W68" s="70">
        <f>IRR(B68:V68)</f>
        <v>3.119999999999945E-2</v>
      </c>
    </row>
    <row r="69" spans="1:30" x14ac:dyDescent="0.25">
      <c r="A69" s="53" t="s">
        <v>18</v>
      </c>
      <c r="B69" s="71">
        <f>B62</f>
        <v>1600000</v>
      </c>
      <c r="C69" s="2">
        <f t="shared" ref="C69:V69" si="26">C62/(1+$B$6)^C67</f>
        <v>-103650.80052580623</v>
      </c>
      <c r="D69" s="2">
        <f t="shared" si="26"/>
        <v>-104123.63157043332</v>
      </c>
      <c r="E69" s="2">
        <f t="shared" si="26"/>
        <v>-104615.37585684551</v>
      </c>
      <c r="F69" s="2">
        <f t="shared" si="26"/>
        <v>-105126.78991471417</v>
      </c>
      <c r="G69" s="2">
        <f t="shared" si="26"/>
        <v>-105658.66053489759</v>
      </c>
      <c r="H69" s="2">
        <f t="shared" si="26"/>
        <v>-106211.80597988833</v>
      </c>
      <c r="I69" s="2">
        <f t="shared" si="26"/>
        <v>-106787.0772426787</v>
      </c>
      <c r="J69" s="2">
        <f t="shared" si="26"/>
        <v>-107385.35935598071</v>
      </c>
      <c r="K69" s="2">
        <f t="shared" si="26"/>
        <v>-108007.57275381478</v>
      </c>
      <c r="L69" s="2">
        <f t="shared" si="26"/>
        <v>-108654.67468756222</v>
      </c>
      <c r="M69" s="2">
        <f t="shared" si="26"/>
        <v>-109327.66069865956</v>
      </c>
      <c r="N69" s="2">
        <f t="shared" si="26"/>
        <v>-110027.56615020079</v>
      </c>
      <c r="O69" s="2">
        <f t="shared" si="26"/>
        <v>-110755.46781980367</v>
      </c>
      <c r="P69" s="2">
        <f t="shared" si="26"/>
        <v>-111512.48555619066</v>
      </c>
      <c r="Q69" s="2">
        <f t="shared" si="26"/>
        <v>-112299.78400203312</v>
      </c>
      <c r="R69" s="2">
        <f t="shared" si="26"/>
        <v>-113118.5743857093</v>
      </c>
      <c r="S69" s="2">
        <f t="shared" si="26"/>
        <v>-113970.11638473251</v>
      </c>
      <c r="T69" s="2">
        <f t="shared" si="26"/>
        <v>-114855.72006371665</v>
      </c>
      <c r="U69" s="2">
        <f t="shared" si="26"/>
        <v>-115776.74788986017</v>
      </c>
      <c r="V69" s="2">
        <f t="shared" si="26"/>
        <v>-116734.61682904942</v>
      </c>
      <c r="W69" s="70">
        <f>IRR(B69:V69)</f>
        <v>3.1199999999999894E-2</v>
      </c>
    </row>
    <row r="71" spans="1:30" x14ac:dyDescent="0.25">
      <c r="A71" s="60" t="s">
        <v>25</v>
      </c>
      <c r="B71" s="72"/>
      <c r="R71" s="2" t="s">
        <v>0</v>
      </c>
    </row>
    <row r="72" spans="1:30" x14ac:dyDescent="0.25">
      <c r="B72" s="62" t="s">
        <v>74</v>
      </c>
      <c r="AD72" s="2" t="s">
        <v>0</v>
      </c>
    </row>
    <row r="73" spans="1:30" x14ac:dyDescent="0.25">
      <c r="A73" s="2" t="s">
        <v>15</v>
      </c>
      <c r="B73" s="2">
        <f>B68+NPV(B8,C68:V68)</f>
        <v>50269.411320184823</v>
      </c>
    </row>
    <row r="74" spans="1:30" x14ac:dyDescent="0.25">
      <c r="A74" s="2" t="s">
        <v>18</v>
      </c>
      <c r="B74" s="2">
        <f>B69+NPV(B8,C69:V69)</f>
        <v>55660.58978218399</v>
      </c>
    </row>
    <row r="75" spans="1:30" x14ac:dyDescent="0.25">
      <c r="A75" s="2"/>
      <c r="W75" s="2" t="s">
        <v>0</v>
      </c>
    </row>
    <row r="76" spans="1:30" x14ac:dyDescent="0.25">
      <c r="A76" s="2"/>
    </row>
    <row r="77" spans="1:30" s="73" customFormat="1" x14ac:dyDescent="0.25"/>
    <row r="78" spans="1:30" s="73" customFormat="1" x14ac:dyDescent="0.25">
      <c r="E78" s="73" t="s">
        <v>0</v>
      </c>
    </row>
    <row r="79" spans="1:30" x14ac:dyDescent="0.25">
      <c r="A79" s="2"/>
      <c r="S79" s="2" t="s">
        <v>0</v>
      </c>
    </row>
    <row r="80" spans="1:30" x14ac:dyDescent="0.25">
      <c r="A80" s="2"/>
    </row>
    <row r="81" spans="1:5" x14ac:dyDescent="0.25">
      <c r="A81" s="2"/>
    </row>
    <row r="82" spans="1:5" x14ac:dyDescent="0.25">
      <c r="A82" s="2"/>
    </row>
    <row r="83" spans="1:5" x14ac:dyDescent="0.25">
      <c r="A83" s="2"/>
      <c r="E83" s="2" t="s">
        <v>0</v>
      </c>
    </row>
    <row r="84" spans="1:5" x14ac:dyDescent="0.25">
      <c r="A84" s="2"/>
    </row>
    <row r="85" spans="1:5" x14ac:dyDescent="0.25">
      <c r="A85" s="2"/>
    </row>
    <row r="86" spans="1:5" x14ac:dyDescent="0.25">
      <c r="A86" s="2"/>
    </row>
    <row r="87" spans="1:5" x14ac:dyDescent="0.25">
      <c r="A87" s="2"/>
    </row>
    <row r="88" spans="1:5" x14ac:dyDescent="0.25">
      <c r="A88" s="2"/>
    </row>
    <row r="89" spans="1:5" x14ac:dyDescent="0.25">
      <c r="A89" s="2"/>
    </row>
    <row r="90" spans="1:5" x14ac:dyDescent="0.25">
      <c r="A90" s="2"/>
    </row>
    <row r="91" spans="1:5" x14ac:dyDescent="0.25">
      <c r="A91" s="2"/>
    </row>
    <row r="92" spans="1:5" x14ac:dyDescent="0.25">
      <c r="A92" s="2"/>
    </row>
    <row r="93" spans="1:5" x14ac:dyDescent="0.25">
      <c r="A93" s="2"/>
    </row>
    <row r="94" spans="1:5" x14ac:dyDescent="0.25">
      <c r="A94" s="2"/>
    </row>
    <row r="95" spans="1:5" x14ac:dyDescent="0.25">
      <c r="A95" s="2"/>
    </row>
    <row r="96" spans="1:5" x14ac:dyDescent="0.25">
      <c r="A96" s="2"/>
    </row>
    <row r="97" spans="1:1" x14ac:dyDescent="0.25">
      <c r="A97" s="2"/>
    </row>
    <row r="98" spans="1:1" x14ac:dyDescent="0.25">
      <c r="A98" s="2"/>
    </row>
    <row r="99" spans="1:1" x14ac:dyDescent="0.25">
      <c r="A99" s="2"/>
    </row>
    <row r="100" spans="1:1" x14ac:dyDescent="0.25">
      <c r="A100" s="2"/>
    </row>
    <row r="101" spans="1:1" x14ac:dyDescent="0.25">
      <c r="A101" s="2"/>
    </row>
    <row r="102" spans="1:1" x14ac:dyDescent="0.25">
      <c r="A102" s="2"/>
    </row>
    <row r="103" spans="1:1" x14ac:dyDescent="0.25">
      <c r="A103" s="2"/>
    </row>
    <row r="104" spans="1:1" x14ac:dyDescent="0.25">
      <c r="A104" s="2"/>
    </row>
    <row r="105" spans="1:1" x14ac:dyDescent="0.25">
      <c r="A105" s="2"/>
    </row>
    <row r="106" spans="1:1" x14ac:dyDescent="0.25">
      <c r="A106" s="2"/>
    </row>
    <row r="107" spans="1:1" x14ac:dyDescent="0.25">
      <c r="A107" s="2"/>
    </row>
    <row r="108" spans="1:1" x14ac:dyDescent="0.25">
      <c r="A108" s="2"/>
    </row>
    <row r="109" spans="1:1" x14ac:dyDescent="0.25">
      <c r="A109" s="2"/>
    </row>
    <row r="110" spans="1:1" x14ac:dyDescent="0.25">
      <c r="A110" s="2"/>
    </row>
    <row r="111" spans="1:1" x14ac:dyDescent="0.25">
      <c r="A111" s="2"/>
    </row>
    <row r="112" spans="1:1" x14ac:dyDescent="0.25">
      <c r="A112" s="2"/>
    </row>
    <row r="113" spans="1:1" x14ac:dyDescent="0.25">
      <c r="A113" s="2"/>
    </row>
    <row r="114" spans="1:1" x14ac:dyDescent="0.25">
      <c r="A114" s="2"/>
    </row>
    <row r="115" spans="1:1" x14ac:dyDescent="0.25">
      <c r="A115" s="2"/>
    </row>
    <row r="116" spans="1:1" x14ac:dyDescent="0.25">
      <c r="A116" s="2"/>
    </row>
    <row r="117" spans="1:1" x14ac:dyDescent="0.25">
      <c r="A117" s="2"/>
    </row>
    <row r="118" spans="1:1" x14ac:dyDescent="0.25">
      <c r="A118" s="2"/>
    </row>
    <row r="119" spans="1:1" x14ac:dyDescent="0.25">
      <c r="A119" s="2"/>
    </row>
    <row r="120" spans="1:1" x14ac:dyDescent="0.25">
      <c r="A120" s="2"/>
    </row>
    <row r="121" spans="1:1" x14ac:dyDescent="0.25">
      <c r="A121" s="2"/>
    </row>
    <row r="122" spans="1:1" x14ac:dyDescent="0.25">
      <c r="A122" s="2"/>
    </row>
    <row r="123" spans="1:1" x14ac:dyDescent="0.25">
      <c r="A123" s="2"/>
    </row>
    <row r="124" spans="1:1" x14ac:dyDescent="0.25">
      <c r="A124" s="2"/>
    </row>
    <row r="125" spans="1:1" x14ac:dyDescent="0.25">
      <c r="A125" s="2"/>
    </row>
    <row r="126" spans="1:1" x14ac:dyDescent="0.25">
      <c r="A126" s="2"/>
    </row>
    <row r="127" spans="1:1" x14ac:dyDescent="0.25">
      <c r="A127" s="2"/>
    </row>
    <row r="128" spans="1:1" x14ac:dyDescent="0.25">
      <c r="A128" s="2"/>
    </row>
    <row r="129" spans="1:1" x14ac:dyDescent="0.25">
      <c r="A129" s="2"/>
    </row>
    <row r="130" spans="1:1" x14ac:dyDescent="0.25">
      <c r="A130" s="2"/>
    </row>
    <row r="131" spans="1:1" x14ac:dyDescent="0.25">
      <c r="A131" s="2"/>
    </row>
    <row r="132" spans="1:1" x14ac:dyDescent="0.25">
      <c r="A132" s="2"/>
    </row>
    <row r="133" spans="1:1" x14ac:dyDescent="0.25">
      <c r="A133" s="2"/>
    </row>
    <row r="134" spans="1:1" x14ac:dyDescent="0.25">
      <c r="A134" s="2"/>
    </row>
    <row r="135" spans="1:1" x14ac:dyDescent="0.25">
      <c r="A135" s="2"/>
    </row>
    <row r="136" spans="1:1" x14ac:dyDescent="0.25">
      <c r="A136" s="2"/>
    </row>
    <row r="137" spans="1:1" x14ac:dyDescent="0.25">
      <c r="A137" s="2"/>
    </row>
    <row r="138" spans="1:1" x14ac:dyDescent="0.25">
      <c r="A138" s="2"/>
    </row>
    <row r="139" spans="1:1" x14ac:dyDescent="0.25">
      <c r="A139" s="2"/>
    </row>
    <row r="140" spans="1:1" x14ac:dyDescent="0.25">
      <c r="A140" s="2"/>
    </row>
    <row r="141" spans="1:1" x14ac:dyDescent="0.25">
      <c r="A141" s="2"/>
    </row>
    <row r="142" spans="1:1" x14ac:dyDescent="0.25">
      <c r="A142" s="2"/>
    </row>
    <row r="143" spans="1:1" x14ac:dyDescent="0.25">
      <c r="A143" s="2"/>
    </row>
    <row r="144" spans="1:1" x14ac:dyDescent="0.25">
      <c r="A144" s="2"/>
    </row>
    <row r="145" spans="1:1" x14ac:dyDescent="0.25">
      <c r="A145" s="2"/>
    </row>
    <row r="146" spans="1:1" x14ac:dyDescent="0.25">
      <c r="A146" s="2"/>
    </row>
    <row r="147" spans="1:1" x14ac:dyDescent="0.25">
      <c r="A147" s="2"/>
    </row>
    <row r="148" spans="1:1" x14ac:dyDescent="0.25">
      <c r="A148" s="2"/>
    </row>
    <row r="149" spans="1:1" x14ac:dyDescent="0.25">
      <c r="A149" s="2"/>
    </row>
    <row r="150" spans="1:1" x14ac:dyDescent="0.25">
      <c r="A150" s="2"/>
    </row>
    <row r="151" spans="1:1" x14ac:dyDescent="0.25">
      <c r="A151" s="2"/>
    </row>
    <row r="152" spans="1:1" x14ac:dyDescent="0.25">
      <c r="A152" s="2"/>
    </row>
    <row r="153" spans="1:1" x14ac:dyDescent="0.25">
      <c r="A153" s="2"/>
    </row>
    <row r="154" spans="1:1" x14ac:dyDescent="0.25">
      <c r="A154" s="2"/>
    </row>
    <row r="155" spans="1:1" x14ac:dyDescent="0.25">
      <c r="A155" s="2"/>
    </row>
    <row r="156" spans="1:1" x14ac:dyDescent="0.25">
      <c r="A156" s="2"/>
    </row>
    <row r="157" spans="1:1" x14ac:dyDescent="0.25">
      <c r="A157" s="2"/>
    </row>
    <row r="158" spans="1:1" x14ac:dyDescent="0.25">
      <c r="A158" s="2"/>
    </row>
    <row r="159" spans="1:1" x14ac:dyDescent="0.25">
      <c r="A159" s="2"/>
    </row>
    <row r="160" spans="1:1" x14ac:dyDescent="0.25">
      <c r="A160" s="2"/>
    </row>
    <row r="161" spans="1:1" x14ac:dyDescent="0.25">
      <c r="A161" s="2"/>
    </row>
    <row r="162" spans="1:1" x14ac:dyDescent="0.25">
      <c r="A162" s="2"/>
    </row>
  </sheetData>
  <mergeCells count="5">
    <mergeCell ref="B9:V9"/>
    <mergeCell ref="B30:V30"/>
    <mergeCell ref="B43:V43"/>
    <mergeCell ref="B53:V53"/>
    <mergeCell ref="B66:V66"/>
  </mergeCells>
  <phoneticPr fontId="2" type="noConversion"/>
  <pageMargins left="0.75" right="0.75" top="1" bottom="1" header="0.5" footer="0.5"/>
  <pageSetup paperSize="9" orientation="portrait" horizontalDpi="4294967292" verticalDpi="0" r:id="rId1"/>
  <headerFooter alignWithMargins="0">
    <oddHeader>&amp;A</oddHeader>
    <oddFooter>Page &amp;P</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O42"/>
  <sheetViews>
    <sheetView topLeftCell="A7" workbookViewId="0">
      <selection activeCell="B5" sqref="B5"/>
    </sheetView>
  </sheetViews>
  <sheetFormatPr baseColWidth="10" defaultColWidth="9.33203125" defaultRowHeight="15" x14ac:dyDescent="0.25"/>
  <cols>
    <col min="1" max="1" width="26.33203125" style="1" customWidth="1"/>
    <col min="2" max="2" width="12.1640625" style="1" bestFit="1" customWidth="1"/>
    <col min="3" max="5" width="11.33203125" style="1" bestFit="1" customWidth="1"/>
    <col min="6" max="6" width="16.33203125" style="1" customWidth="1"/>
    <col min="7" max="256" width="12" style="1" customWidth="1"/>
    <col min="257" max="16384" width="9.33203125" style="1"/>
  </cols>
  <sheetData>
    <row r="1" spans="1:13" x14ac:dyDescent="0.25">
      <c r="A1" s="1" t="s">
        <v>10</v>
      </c>
      <c r="B1" s="6">
        <v>100000</v>
      </c>
    </row>
    <row r="2" spans="1:13" x14ac:dyDescent="0.25">
      <c r="A2" s="1" t="s">
        <v>62</v>
      </c>
      <c r="B2" s="3">
        <v>0.03</v>
      </c>
    </row>
    <row r="3" spans="1:13" x14ac:dyDescent="0.25">
      <c r="A3" s="1" t="s">
        <v>11</v>
      </c>
      <c r="B3" s="3">
        <v>3</v>
      </c>
    </row>
    <row r="4" spans="1:13" x14ac:dyDescent="0.25">
      <c r="A4" s="1" t="s">
        <v>1</v>
      </c>
      <c r="B4" s="3">
        <v>0.22</v>
      </c>
    </row>
    <row r="5" spans="1:13" x14ac:dyDescent="0.25">
      <c r="A5" s="1" t="s">
        <v>71</v>
      </c>
      <c r="B5" s="6">
        <v>5000</v>
      </c>
    </row>
    <row r="6" spans="1:13" x14ac:dyDescent="0.25">
      <c r="A6" s="3" t="s">
        <v>63</v>
      </c>
    </row>
    <row r="7" spans="1:13" x14ac:dyDescent="0.25">
      <c r="A7" s="1" t="s">
        <v>3</v>
      </c>
      <c r="B7" s="2">
        <f>PMT(B2,B3,B1)</f>
        <v>-35353.036332459793</v>
      </c>
    </row>
    <row r="8" spans="1:13" x14ac:dyDescent="0.25">
      <c r="B8" s="123" t="s">
        <v>41</v>
      </c>
      <c r="C8" s="123"/>
      <c r="D8" s="123"/>
      <c r="E8" s="123"/>
    </row>
    <row r="9" spans="1:13" x14ac:dyDescent="0.25">
      <c r="B9" s="1">
        <v>0</v>
      </c>
      <c r="C9" s="1">
        <v>1</v>
      </c>
      <c r="D9" s="1">
        <v>2</v>
      </c>
      <c r="E9" s="1">
        <v>3</v>
      </c>
      <c r="F9" s="23" t="s">
        <v>66</v>
      </c>
    </row>
    <row r="10" spans="1:13" x14ac:dyDescent="0.25">
      <c r="A10" s="1" t="s">
        <v>26</v>
      </c>
      <c r="B10" s="2">
        <f>B1</f>
        <v>100000</v>
      </c>
      <c r="C10" s="2">
        <f>B10+C11</f>
        <v>67646.9636675402</v>
      </c>
      <c r="D10" s="2">
        <f>C10+D11</f>
        <v>34323.336245106613</v>
      </c>
      <c r="E10" s="2">
        <f>D10+E11</f>
        <v>0</v>
      </c>
    </row>
    <row r="11" spans="1:13" x14ac:dyDescent="0.25">
      <c r="A11" s="1" t="s">
        <v>6</v>
      </c>
      <c r="B11" s="2"/>
      <c r="C11" s="2">
        <f>$B$7-C12</f>
        <v>-32353.036332459793</v>
      </c>
      <c r="D11" s="2">
        <f>$B$7-D12</f>
        <v>-33323.627422433587</v>
      </c>
      <c r="E11" s="2">
        <f>$B$7-E12</f>
        <v>-34323.336245106591</v>
      </c>
    </row>
    <row r="12" spans="1:13" x14ac:dyDescent="0.25">
      <c r="A12" s="4" t="s">
        <v>65</v>
      </c>
      <c r="B12" s="5"/>
      <c r="C12" s="5">
        <f>-B10*$B$2</f>
        <v>-3000</v>
      </c>
      <c r="D12" s="5">
        <f>-C10*$B$2</f>
        <v>-2029.4089100262058</v>
      </c>
      <c r="E12" s="5">
        <f>-D10*$B$2</f>
        <v>-1029.7000873531983</v>
      </c>
      <c r="F12" s="4"/>
    </row>
    <row r="13" spans="1:13" x14ac:dyDescent="0.25">
      <c r="A13" s="25" t="s">
        <v>17</v>
      </c>
      <c r="B13" s="26">
        <f>B10</f>
        <v>100000</v>
      </c>
      <c r="C13" s="26">
        <f>SUM(C11:C12)</f>
        <v>-35353.036332459793</v>
      </c>
      <c r="D13" s="26">
        <f>SUM(D11:D12)</f>
        <v>-35353.036332459793</v>
      </c>
      <c r="E13" s="26">
        <f>SUM(E11:E12)</f>
        <v>-35353.036332459793</v>
      </c>
      <c r="F13" s="27">
        <f>IRR(B13:E13)</f>
        <v>2.9999999999999805E-2</v>
      </c>
    </row>
    <row r="16" spans="1:13" x14ac:dyDescent="0.25">
      <c r="A16" s="3" t="s">
        <v>30</v>
      </c>
      <c r="M16" s="1" t="s">
        <v>0</v>
      </c>
    </row>
    <row r="17" spans="1:15" x14ac:dyDescent="0.25">
      <c r="B17" s="123" t="s">
        <v>41</v>
      </c>
      <c r="C17" s="123"/>
      <c r="D17" s="123"/>
      <c r="E17" s="123"/>
    </row>
    <row r="18" spans="1:15" x14ac:dyDescent="0.25">
      <c r="B18" s="1">
        <v>0</v>
      </c>
      <c r="C18" s="1">
        <v>1</v>
      </c>
      <c r="D18" s="1">
        <v>2</v>
      </c>
      <c r="E18" s="1">
        <v>3</v>
      </c>
      <c r="F18" s="23" t="s">
        <v>66</v>
      </c>
    </row>
    <row r="19" spans="1:15" x14ac:dyDescent="0.25">
      <c r="A19" s="1" t="s">
        <v>26</v>
      </c>
      <c r="B19" s="2">
        <f>B1</f>
        <v>100000</v>
      </c>
      <c r="C19" s="2">
        <f>B19+C20</f>
        <v>67646.9636675402</v>
      </c>
      <c r="D19" s="2">
        <f>C19+D20</f>
        <v>34323.336245106613</v>
      </c>
      <c r="E19" s="2">
        <f>D19+E20</f>
        <v>0</v>
      </c>
      <c r="O19" s="1" t="s">
        <v>0</v>
      </c>
    </row>
    <row r="20" spans="1:15" x14ac:dyDescent="0.25">
      <c r="A20" s="1" t="s">
        <v>6</v>
      </c>
      <c r="B20" s="2"/>
      <c r="C20" s="2">
        <f>$B$7-C21</f>
        <v>-32353.036332459793</v>
      </c>
      <c r="D20" s="2">
        <f>$B$7-D21</f>
        <v>-33323.627422433587</v>
      </c>
      <c r="E20" s="2">
        <f>$B$7-E21</f>
        <v>-34323.336245106591</v>
      </c>
    </row>
    <row r="21" spans="1:15" x14ac:dyDescent="0.25">
      <c r="A21" s="1" t="s">
        <v>65</v>
      </c>
      <c r="B21" s="2"/>
      <c r="C21" s="2">
        <f>-B19*$B$2</f>
        <v>-3000</v>
      </c>
      <c r="D21" s="2">
        <f>-C19*$B$2</f>
        <v>-2029.4089100262058</v>
      </c>
      <c r="E21" s="2">
        <f>-D19*$B$2</f>
        <v>-1029.7000873531983</v>
      </c>
    </row>
    <row r="22" spans="1:15" x14ac:dyDescent="0.25">
      <c r="A22" s="4" t="s">
        <v>68</v>
      </c>
      <c r="B22" s="5">
        <f>B19</f>
        <v>100000</v>
      </c>
      <c r="C22" s="5">
        <f>SUM(C20:C21)</f>
        <v>-35353.036332459793</v>
      </c>
      <c r="D22" s="5">
        <f>SUM(D20:D21)</f>
        <v>-35353.036332459793</v>
      </c>
      <c r="E22" s="5">
        <f>SUM(E20:E21)</f>
        <v>-35353.036332459793</v>
      </c>
      <c r="F22" s="22">
        <f>IRR(B22:E22)</f>
        <v>2.9999999999999805E-2</v>
      </c>
    </row>
    <row r="23" spans="1:15" x14ac:dyDescent="0.25">
      <c r="A23" s="1" t="s">
        <v>67</v>
      </c>
      <c r="B23" s="2"/>
      <c r="C23" s="2">
        <f>-C21*$B$4</f>
        <v>660</v>
      </c>
      <c r="D23" s="2">
        <f>-D21*$B$4</f>
        <v>446.46996020576529</v>
      </c>
      <c r="E23" s="2">
        <f>-E21*$B$4</f>
        <v>226.53401921770364</v>
      </c>
    </row>
    <row r="24" spans="1:15" x14ac:dyDescent="0.25">
      <c r="A24" s="4" t="s">
        <v>69</v>
      </c>
      <c r="B24" s="5">
        <f>B19</f>
        <v>100000</v>
      </c>
      <c r="C24" s="5">
        <f>SUM(C22:C23)</f>
        <v>-34693.036332459793</v>
      </c>
      <c r="D24" s="5">
        <f>SUM(D22:D23)</f>
        <v>-34906.566372254027</v>
      </c>
      <c r="E24" s="5">
        <f>SUM(E22:E23)</f>
        <v>-35126.50231324209</v>
      </c>
      <c r="F24" s="22">
        <f>IRR(B24:E24)</f>
        <v>2.3399999999999865E-2</v>
      </c>
    </row>
    <row r="26" spans="1:15" x14ac:dyDescent="0.25">
      <c r="H26" s="1">
        <f>B2*(1-B4)</f>
        <v>2.3400000000000001E-2</v>
      </c>
    </row>
    <row r="28" spans="1:15" x14ac:dyDescent="0.25">
      <c r="A28" s="3" t="s">
        <v>70</v>
      </c>
    </row>
    <row r="29" spans="1:15" x14ac:dyDescent="0.25">
      <c r="B29" s="123" t="s">
        <v>41</v>
      </c>
      <c r="C29" s="123"/>
      <c r="D29" s="123"/>
      <c r="E29" s="123"/>
    </row>
    <row r="30" spans="1:15" x14ac:dyDescent="0.25">
      <c r="B30" s="1">
        <v>0</v>
      </c>
      <c r="C30" s="1">
        <v>1</v>
      </c>
      <c r="D30" s="1">
        <v>2</v>
      </c>
      <c r="E30" s="1">
        <v>3</v>
      </c>
      <c r="F30" s="23" t="s">
        <v>66</v>
      </c>
    </row>
    <row r="31" spans="1:15" x14ac:dyDescent="0.25">
      <c r="A31" s="1" t="s">
        <v>26</v>
      </c>
      <c r="B31" s="2">
        <f>B13</f>
        <v>100000</v>
      </c>
      <c r="C31" s="2">
        <f>B31+C32</f>
        <v>67646.9636675402</v>
      </c>
      <c r="D31" s="2">
        <f>C31+D32</f>
        <v>34323.336245106613</v>
      </c>
      <c r="E31" s="2">
        <f>D31+E32</f>
        <v>0</v>
      </c>
      <c r="F31" s="23"/>
    </row>
    <row r="32" spans="1:15" x14ac:dyDescent="0.25">
      <c r="A32" s="1" t="s">
        <v>6</v>
      </c>
      <c r="B32" s="2"/>
      <c r="C32" s="2">
        <f>$B$7-C33</f>
        <v>-32353.036332459793</v>
      </c>
      <c r="D32" s="2">
        <f>$B$7-D33</f>
        <v>-33323.627422433587</v>
      </c>
      <c r="E32" s="2">
        <f>$B$7-E33</f>
        <v>-34323.336245106591</v>
      </c>
      <c r="F32" s="23"/>
      <c r="N32" s="1" t="s">
        <v>0</v>
      </c>
    </row>
    <row r="33" spans="1:11" x14ac:dyDescent="0.25">
      <c r="A33" s="1" t="s">
        <v>65</v>
      </c>
      <c r="B33" s="2"/>
      <c r="C33" s="2">
        <f>-B31*$B$2</f>
        <v>-3000</v>
      </c>
      <c r="D33" s="2">
        <f>-C31*$B$2</f>
        <v>-2029.4089100262058</v>
      </c>
      <c r="E33" s="2">
        <f>-D31*$B$2</f>
        <v>-1029.7000873531983</v>
      </c>
      <c r="F33" s="23"/>
    </row>
    <row r="34" spans="1:11" x14ac:dyDescent="0.25">
      <c r="A34" s="1" t="s">
        <v>71</v>
      </c>
      <c r="B34" s="2">
        <f>-B5</f>
        <v>-5000</v>
      </c>
      <c r="C34" s="2"/>
      <c r="D34" s="2"/>
      <c r="E34" s="2"/>
      <c r="F34" s="23"/>
    </row>
    <row r="35" spans="1:11" x14ac:dyDescent="0.25">
      <c r="A35" s="4" t="s">
        <v>68</v>
      </c>
      <c r="B35" s="5">
        <f>SUM(B31:B34)</f>
        <v>95000</v>
      </c>
      <c r="C35" s="5">
        <f>SUM(C32:C33)</f>
        <v>-35353.036332459793</v>
      </c>
      <c r="D35" s="5">
        <f>SUM(D32:D33)</f>
        <v>-35353.036332459793</v>
      </c>
      <c r="E35" s="5">
        <f>SUM(E32:E33)</f>
        <v>-35353.036332459793</v>
      </c>
      <c r="F35" s="24">
        <f>IRR(B35:E35)</f>
        <v>5.714772998545703E-2</v>
      </c>
    </row>
    <row r="36" spans="1:11" x14ac:dyDescent="0.25">
      <c r="A36" s="1" t="s">
        <v>67</v>
      </c>
      <c r="B36" s="2">
        <f>-B34*$B$4</f>
        <v>1100</v>
      </c>
      <c r="C36" s="2">
        <f>C23</f>
        <v>660</v>
      </c>
      <c r="D36" s="2">
        <f>D23</f>
        <v>446.46996020576529</v>
      </c>
      <c r="E36" s="2">
        <f>E23</f>
        <v>226.53401921770364</v>
      </c>
      <c r="F36" s="23"/>
    </row>
    <row r="37" spans="1:11" x14ac:dyDescent="0.25">
      <c r="A37" s="4" t="s">
        <v>69</v>
      </c>
      <c r="B37" s="5">
        <f>B35+B36</f>
        <v>96100</v>
      </c>
      <c r="C37" s="5">
        <f>SUM(C35:C36)</f>
        <v>-34693.036332459793</v>
      </c>
      <c r="D37" s="5">
        <f>SUM(D35:D36)</f>
        <v>-34906.566372254027</v>
      </c>
      <c r="E37" s="5">
        <f>SUM(E35:E36)</f>
        <v>-35126.50231324209</v>
      </c>
      <c r="F37" s="24">
        <f>IRR(B37:E37)</f>
        <v>4.4147938954012034E-2</v>
      </c>
      <c r="K37" s="1" t="s">
        <v>0</v>
      </c>
    </row>
    <row r="40" spans="1:11" x14ac:dyDescent="0.25">
      <c r="A40" s="3" t="s">
        <v>72</v>
      </c>
      <c r="K40" s="1" t="s">
        <v>0</v>
      </c>
    </row>
    <row r="42" spans="1:11" x14ac:dyDescent="0.25">
      <c r="H42" s="1" t="s">
        <v>0</v>
      </c>
    </row>
  </sheetData>
  <mergeCells count="3">
    <mergeCell ref="B8:E8"/>
    <mergeCell ref="B17:E17"/>
    <mergeCell ref="B29:E29"/>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S72"/>
  <sheetViews>
    <sheetView workbookViewId="0"/>
  </sheetViews>
  <sheetFormatPr baseColWidth="10" defaultColWidth="9.33203125" defaultRowHeight="15" x14ac:dyDescent="0.25"/>
  <cols>
    <col min="1" max="1" width="33.5" style="1" customWidth="1"/>
    <col min="2" max="2" width="11.83203125" style="1" customWidth="1"/>
    <col min="3" max="4" width="11" style="1" customWidth="1"/>
    <col min="5" max="6" width="11.6640625" style="1" bestFit="1" customWidth="1"/>
    <col min="7" max="7" width="12.1640625" style="1" customWidth="1"/>
    <col min="8" max="8" width="16.1640625" style="1" bestFit="1" customWidth="1"/>
    <col min="9" max="9" width="11.6640625" style="1" customWidth="1"/>
    <col min="10" max="10" width="31.33203125" style="1" customWidth="1"/>
    <col min="11" max="11" width="12" style="1" customWidth="1"/>
    <col min="12" max="13" width="15.83203125" style="1" bestFit="1" customWidth="1"/>
    <col min="14" max="256" width="12" style="1" customWidth="1"/>
    <col min="257" max="16384" width="9.33203125" style="1"/>
  </cols>
  <sheetData>
    <row r="1" spans="1:17" x14ac:dyDescent="0.25">
      <c r="A1" s="1" t="s">
        <v>75</v>
      </c>
      <c r="B1" s="3">
        <v>70</v>
      </c>
    </row>
    <row r="2" spans="1:17" x14ac:dyDescent="0.25">
      <c r="A2" s="1" t="s">
        <v>76</v>
      </c>
      <c r="B2" s="3">
        <v>0</v>
      </c>
      <c r="E2" s="1" t="s">
        <v>109</v>
      </c>
    </row>
    <row r="3" spans="1:17" x14ac:dyDescent="0.25">
      <c r="A3" s="1" t="s">
        <v>77</v>
      </c>
      <c r="B3" s="3">
        <v>0.04</v>
      </c>
      <c r="E3" s="1" t="s">
        <v>110</v>
      </c>
    </row>
    <row r="4" spans="1:17" x14ac:dyDescent="0.25">
      <c r="E4" s="1" t="s">
        <v>111</v>
      </c>
    </row>
    <row r="5" spans="1:17" x14ac:dyDescent="0.25">
      <c r="A5" s="75" t="s">
        <v>63</v>
      </c>
      <c r="J5" s="119"/>
      <c r="K5" s="119"/>
      <c r="L5" s="119"/>
      <c r="M5" s="119"/>
      <c r="N5" s="119"/>
      <c r="O5" s="119"/>
      <c r="P5" s="119"/>
      <c r="Q5" s="119"/>
    </row>
    <row r="6" spans="1:17" x14ac:dyDescent="0.25">
      <c r="B6" s="127" t="s">
        <v>41</v>
      </c>
      <c r="C6" s="127"/>
      <c r="D6" s="127"/>
      <c r="E6" s="127"/>
      <c r="F6" s="127"/>
      <c r="G6" s="127"/>
      <c r="J6" s="119"/>
      <c r="K6" s="119"/>
      <c r="L6" s="119"/>
      <c r="M6" s="119"/>
      <c r="N6" s="119"/>
      <c r="O6" s="119"/>
      <c r="P6" s="119"/>
      <c r="Q6" s="119"/>
    </row>
    <row r="7" spans="1:17" x14ac:dyDescent="0.25">
      <c r="A7" s="76"/>
      <c r="B7" s="77">
        <v>0</v>
      </c>
      <c r="C7" s="77">
        <v>1</v>
      </c>
      <c r="D7" s="77">
        <v>2</v>
      </c>
      <c r="E7" s="77">
        <v>3</v>
      </c>
      <c r="F7" s="77">
        <v>4</v>
      </c>
      <c r="G7" s="77">
        <v>5</v>
      </c>
      <c r="J7" s="119"/>
      <c r="K7" s="119"/>
      <c r="L7" s="119"/>
      <c r="M7" s="119"/>
      <c r="N7" s="119"/>
      <c r="O7" s="119"/>
      <c r="P7" s="119"/>
      <c r="Q7" s="119"/>
    </row>
    <row r="8" spans="1:17" ht="21.75" customHeight="1" x14ac:dyDescent="0.25">
      <c r="A8" s="78" t="s">
        <v>64</v>
      </c>
      <c r="B8" s="87">
        <f>B1</f>
        <v>70</v>
      </c>
      <c r="C8" s="87">
        <f>B8</f>
        <v>70</v>
      </c>
      <c r="D8" s="87">
        <f>C8</f>
        <v>70</v>
      </c>
      <c r="E8" s="87">
        <f>D8</f>
        <v>70</v>
      </c>
      <c r="F8" s="87">
        <f>E8</f>
        <v>70</v>
      </c>
      <c r="G8" s="87">
        <v>0</v>
      </c>
      <c r="J8" s="119"/>
      <c r="K8" s="120"/>
      <c r="L8" s="120"/>
      <c r="M8" s="120"/>
      <c r="N8" s="120"/>
      <c r="O8" s="120"/>
      <c r="P8" s="120"/>
      <c r="Q8" s="119"/>
    </row>
    <row r="9" spans="1:17" ht="18" customHeight="1" x14ac:dyDescent="0.25">
      <c r="A9" s="78" t="s">
        <v>78</v>
      </c>
      <c r="B9" s="87">
        <f>B8</f>
        <v>70</v>
      </c>
      <c r="C9" s="87">
        <f>B9+C8</f>
        <v>140</v>
      </c>
      <c r="D9" s="87">
        <f>C9+D8</f>
        <v>210</v>
      </c>
      <c r="E9" s="87">
        <f>D9+E8</f>
        <v>280</v>
      </c>
      <c r="F9" s="87">
        <f>E9+F8</f>
        <v>350</v>
      </c>
      <c r="G9" s="87">
        <f>F9+G8</f>
        <v>350</v>
      </c>
      <c r="J9" s="119"/>
      <c r="K9" s="120"/>
      <c r="L9" s="120"/>
      <c r="M9" s="120"/>
      <c r="N9" s="120"/>
      <c r="O9" s="120"/>
      <c r="P9" s="120"/>
      <c r="Q9" s="119"/>
    </row>
    <row r="10" spans="1:17" ht="18.75" customHeight="1" x14ac:dyDescent="0.25">
      <c r="A10" s="78" t="s">
        <v>79</v>
      </c>
      <c r="B10" s="87">
        <f>B9</f>
        <v>70</v>
      </c>
      <c r="C10" s="87">
        <v>141</v>
      </c>
      <c r="D10" s="87">
        <v>214</v>
      </c>
      <c r="E10" s="87">
        <v>289</v>
      </c>
      <c r="F10" s="87">
        <v>364</v>
      </c>
      <c r="G10" s="87">
        <v>372</v>
      </c>
      <c r="J10" s="119"/>
      <c r="K10" s="120"/>
      <c r="L10" s="120"/>
      <c r="M10" s="120"/>
      <c r="N10" s="120"/>
      <c r="O10" s="120"/>
      <c r="P10" s="120"/>
      <c r="Q10" s="119"/>
    </row>
    <row r="11" spans="1:17" ht="15.75" customHeight="1" x14ac:dyDescent="0.25">
      <c r="A11" s="78" t="s">
        <v>80</v>
      </c>
      <c r="B11" s="87">
        <f t="shared" ref="B11:G11" si="0">B10-B9</f>
        <v>0</v>
      </c>
      <c r="C11" s="87">
        <f t="shared" si="0"/>
        <v>1</v>
      </c>
      <c r="D11" s="87">
        <f t="shared" si="0"/>
        <v>4</v>
      </c>
      <c r="E11" s="87">
        <f t="shared" si="0"/>
        <v>9</v>
      </c>
      <c r="F11" s="87">
        <f t="shared" si="0"/>
        <v>14</v>
      </c>
      <c r="G11" s="87">
        <f t="shared" si="0"/>
        <v>22</v>
      </c>
      <c r="J11" s="119"/>
      <c r="K11" s="120"/>
      <c r="L11" s="120"/>
      <c r="M11" s="120"/>
      <c r="N11" s="120"/>
      <c r="O11" s="120"/>
      <c r="P11" s="120"/>
      <c r="Q11" s="119"/>
    </row>
    <row r="12" spans="1:17" ht="16.5" customHeight="1" thickBot="1" x14ac:dyDescent="0.3">
      <c r="A12" s="79" t="s">
        <v>81</v>
      </c>
      <c r="B12" s="88">
        <v>20</v>
      </c>
      <c r="C12" s="88"/>
      <c r="D12" s="88"/>
      <c r="E12" s="89"/>
      <c r="F12" s="88"/>
      <c r="G12" s="88"/>
      <c r="J12" s="119"/>
      <c r="K12" s="120"/>
      <c r="L12" s="120"/>
      <c r="M12" s="120"/>
      <c r="N12" s="120"/>
      <c r="O12" s="120"/>
      <c r="P12" s="120"/>
      <c r="Q12" s="119"/>
    </row>
    <row r="13" spans="1:17" ht="15.75" thickTop="1" x14ac:dyDescent="0.25">
      <c r="J13" s="119"/>
      <c r="K13" s="119"/>
      <c r="L13" s="119"/>
      <c r="M13" s="119"/>
      <c r="N13" s="119"/>
      <c r="O13" s="119"/>
      <c r="P13" s="119"/>
      <c r="Q13" s="119"/>
    </row>
    <row r="14" spans="1:17" x14ac:dyDescent="0.25">
      <c r="A14" s="3" t="s">
        <v>30</v>
      </c>
      <c r="F14" s="1" t="s">
        <v>0</v>
      </c>
      <c r="I14" s="23"/>
      <c r="J14" s="119"/>
      <c r="K14" s="119"/>
      <c r="L14" s="119"/>
      <c r="M14" s="119"/>
      <c r="N14" s="119"/>
      <c r="O14" s="119"/>
      <c r="P14" s="119"/>
      <c r="Q14" s="119"/>
    </row>
    <row r="15" spans="1:17" x14ac:dyDescent="0.25">
      <c r="B15" s="123" t="s">
        <v>41</v>
      </c>
      <c r="C15" s="123"/>
      <c r="D15" s="123"/>
      <c r="E15" s="123"/>
      <c r="F15" s="123"/>
      <c r="G15" s="123"/>
      <c r="I15" s="90"/>
      <c r="J15" s="121"/>
      <c r="K15" s="119"/>
      <c r="L15" s="119"/>
      <c r="M15" s="119"/>
      <c r="N15" s="119"/>
      <c r="O15" s="119"/>
      <c r="P15" s="119"/>
      <c r="Q15" s="119"/>
    </row>
    <row r="16" spans="1:17" x14ac:dyDescent="0.25">
      <c r="B16" s="1">
        <v>0</v>
      </c>
      <c r="C16" s="1">
        <v>1</v>
      </c>
      <c r="D16" s="1">
        <v>2</v>
      </c>
      <c r="E16" s="1">
        <v>3</v>
      </c>
      <c r="F16" s="1">
        <v>4</v>
      </c>
      <c r="G16" s="1">
        <v>5</v>
      </c>
      <c r="H16" s="1" t="s">
        <v>0</v>
      </c>
      <c r="I16" s="81"/>
      <c r="J16" s="121"/>
      <c r="K16" s="119"/>
      <c r="L16" s="119"/>
      <c r="M16" s="119"/>
      <c r="N16" s="119"/>
      <c r="O16" s="119"/>
      <c r="P16" s="119"/>
      <c r="Q16" s="119"/>
    </row>
    <row r="17" spans="1:17" x14ac:dyDescent="0.25">
      <c r="A17" s="1" t="s">
        <v>64</v>
      </c>
      <c r="B17" s="6">
        <v>90</v>
      </c>
      <c r="C17" s="6">
        <v>90</v>
      </c>
      <c r="D17" s="6">
        <v>90</v>
      </c>
      <c r="E17" s="6">
        <v>90</v>
      </c>
      <c r="F17" s="6">
        <v>90</v>
      </c>
      <c r="G17" s="6">
        <v>0</v>
      </c>
      <c r="I17" s="81"/>
      <c r="J17" s="122"/>
      <c r="K17" s="120"/>
      <c r="L17" s="120"/>
      <c r="M17" s="120"/>
      <c r="N17" s="120"/>
      <c r="O17" s="120"/>
      <c r="P17" s="120"/>
      <c r="Q17" s="119"/>
    </row>
    <row r="18" spans="1:17" x14ac:dyDescent="0.25">
      <c r="A18" s="1" t="s">
        <v>78</v>
      </c>
      <c r="B18" s="2">
        <v>90</v>
      </c>
      <c r="C18" s="2">
        <v>180</v>
      </c>
      <c r="D18" s="2">
        <v>270</v>
      </c>
      <c r="E18" s="2">
        <v>360</v>
      </c>
      <c r="F18" s="2">
        <v>450</v>
      </c>
      <c r="G18" s="2">
        <v>450</v>
      </c>
      <c r="I18" s="81"/>
      <c r="J18" s="122"/>
      <c r="K18" s="120"/>
      <c r="L18" s="120"/>
      <c r="M18" s="120"/>
      <c r="N18" s="120"/>
      <c r="O18" s="120"/>
      <c r="P18" s="120"/>
      <c r="Q18" s="119"/>
    </row>
    <row r="19" spans="1:17" x14ac:dyDescent="0.25">
      <c r="A19" s="1" t="s">
        <v>79</v>
      </c>
      <c r="B19" s="2">
        <v>90</v>
      </c>
      <c r="C19" s="2">
        <v>183.60000000000002</v>
      </c>
      <c r="D19" s="2">
        <v>280.94400000000002</v>
      </c>
      <c r="E19" s="2">
        <v>382.18176000000005</v>
      </c>
      <c r="F19" s="2">
        <v>487.46903040000007</v>
      </c>
      <c r="G19" s="2">
        <v>506.96779161600011</v>
      </c>
      <c r="I19" s="81"/>
      <c r="J19" s="122"/>
      <c r="K19" s="120"/>
      <c r="L19" s="120"/>
      <c r="M19" s="120"/>
      <c r="N19" s="120"/>
      <c r="O19" s="120"/>
      <c r="P19" s="120"/>
      <c r="Q19" s="119"/>
    </row>
    <row r="20" spans="1:17" x14ac:dyDescent="0.25">
      <c r="A20" s="1" t="s">
        <v>80</v>
      </c>
      <c r="B20" s="2">
        <v>0</v>
      </c>
      <c r="C20" s="2">
        <v>3.6000000000000227</v>
      </c>
      <c r="D20" s="2">
        <v>10.944000000000017</v>
      </c>
      <c r="E20" s="2">
        <v>22.181760000000054</v>
      </c>
      <c r="F20" s="2">
        <v>37.469030400000065</v>
      </c>
      <c r="G20" s="2">
        <v>56.967791616000113</v>
      </c>
      <c r="I20" s="81"/>
      <c r="J20" s="122"/>
      <c r="K20" s="120"/>
      <c r="L20" s="120"/>
      <c r="M20" s="120"/>
      <c r="N20" s="120"/>
      <c r="O20" s="120"/>
      <c r="P20" s="120"/>
      <c r="Q20" s="119"/>
    </row>
    <row r="21" spans="1:17" x14ac:dyDescent="0.25">
      <c r="A21" s="1" t="s">
        <v>81</v>
      </c>
      <c r="B21" s="2">
        <v>46.823372141408619</v>
      </c>
      <c r="C21" s="2"/>
      <c r="D21" s="2"/>
      <c r="E21" s="2"/>
      <c r="F21" s="2"/>
      <c r="G21" s="2"/>
      <c r="I21" s="81"/>
      <c r="J21" s="122"/>
      <c r="K21" s="120"/>
      <c r="L21" s="120"/>
      <c r="M21" s="120"/>
      <c r="N21" s="120"/>
      <c r="O21" s="120"/>
      <c r="P21" s="120"/>
      <c r="Q21" s="119"/>
    </row>
    <row r="22" spans="1:17" x14ac:dyDescent="0.25">
      <c r="J22" s="1" t="s">
        <v>0</v>
      </c>
    </row>
    <row r="23" spans="1:17" x14ac:dyDescent="0.25">
      <c r="A23" s="3" t="s">
        <v>70</v>
      </c>
      <c r="B23" s="123" t="s">
        <v>41</v>
      </c>
      <c r="C23" s="123"/>
      <c r="D23" s="123"/>
      <c r="E23" s="123"/>
      <c r="F23" s="123"/>
    </row>
    <row r="24" spans="1:17" x14ac:dyDescent="0.25">
      <c r="A24" s="4"/>
      <c r="B24" s="80">
        <v>1</v>
      </c>
      <c r="C24" s="80">
        <v>2</v>
      </c>
      <c r="D24" s="80">
        <v>3</v>
      </c>
      <c r="E24" s="80">
        <v>4</v>
      </c>
      <c r="F24" s="80">
        <v>5</v>
      </c>
      <c r="G24" s="80" t="s">
        <v>74</v>
      </c>
    </row>
    <row r="25" spans="1:17" x14ac:dyDescent="0.25">
      <c r="A25" s="1" t="s">
        <v>83</v>
      </c>
      <c r="B25" s="62">
        <v>60</v>
      </c>
      <c r="C25" s="62">
        <v>60</v>
      </c>
      <c r="D25" s="62">
        <v>60</v>
      </c>
      <c r="E25" s="62">
        <v>60</v>
      </c>
      <c r="F25" s="62">
        <v>60</v>
      </c>
      <c r="G25" s="62">
        <f>NPV($B$3,B25:F25)</f>
        <v>267.10933986097228</v>
      </c>
    </row>
    <row r="26" spans="1:17" x14ac:dyDescent="0.25">
      <c r="A26" s="1" t="s">
        <v>82</v>
      </c>
      <c r="B26" s="62">
        <v>47</v>
      </c>
      <c r="C26" s="62">
        <v>47</v>
      </c>
      <c r="D26" s="62">
        <v>47</v>
      </c>
      <c r="E26" s="62">
        <v>47</v>
      </c>
      <c r="F26" s="62">
        <v>47</v>
      </c>
      <c r="G26" s="62">
        <f>NPV($B$3,B26:F26)</f>
        <v>209.23564955776163</v>
      </c>
    </row>
    <row r="27" spans="1:17" ht="15.75" thickBot="1" x14ac:dyDescent="0.3">
      <c r="A27" s="82" t="s">
        <v>84</v>
      </c>
      <c r="B27" s="83">
        <f>B25-B26</f>
        <v>13</v>
      </c>
      <c r="C27" s="83">
        <f>C25-C26</f>
        <v>13</v>
      </c>
      <c r="D27" s="83">
        <f>D25-D26</f>
        <v>13</v>
      </c>
      <c r="E27" s="83">
        <f>E25-E26</f>
        <v>13</v>
      </c>
      <c r="F27" s="83">
        <f>F25-F26</f>
        <v>13</v>
      </c>
      <c r="G27" s="83">
        <f>NPV($B$3,B27:F27)</f>
        <v>57.873690303210665</v>
      </c>
    </row>
    <row r="28" spans="1:17" ht="15.75" thickTop="1" x14ac:dyDescent="0.25">
      <c r="M28" s="84"/>
    </row>
    <row r="32" spans="1:17" x14ac:dyDescent="0.25">
      <c r="L32" s="85"/>
    </row>
    <row r="33" spans="12:19" x14ac:dyDescent="0.25">
      <c r="L33" s="85"/>
    </row>
    <row r="34" spans="12:19" x14ac:dyDescent="0.25">
      <c r="L34" s="85"/>
    </row>
    <row r="35" spans="12:19" x14ac:dyDescent="0.25">
      <c r="L35" s="85"/>
    </row>
    <row r="36" spans="12:19" x14ac:dyDescent="0.25">
      <c r="L36" s="85"/>
    </row>
    <row r="37" spans="12:19" x14ac:dyDescent="0.25">
      <c r="L37" s="85"/>
    </row>
    <row r="38" spans="12:19" x14ac:dyDescent="0.25">
      <c r="L38" s="85"/>
    </row>
    <row r="39" spans="12:19" x14ac:dyDescent="0.25">
      <c r="L39" s="85"/>
    </row>
    <row r="40" spans="12:19" x14ac:dyDescent="0.25">
      <c r="L40" s="85"/>
    </row>
    <row r="42" spans="12:19" x14ac:dyDescent="0.25">
      <c r="M42" s="70"/>
    </row>
    <row r="43" spans="12:19" x14ac:dyDescent="0.25">
      <c r="M43" s="84"/>
    </row>
    <row r="46" spans="12:19" x14ac:dyDescent="0.25">
      <c r="S46" s="73"/>
    </row>
    <row r="47" spans="12:19" x14ac:dyDescent="0.25">
      <c r="S47" s="73"/>
    </row>
    <row r="48" spans="12:19" x14ac:dyDescent="0.25">
      <c r="S48" s="73"/>
    </row>
    <row r="50" spans="2:5" x14ac:dyDescent="0.25">
      <c r="B50" s="86"/>
    </row>
    <row r="52" spans="2:5" x14ac:dyDescent="0.25">
      <c r="B52" s="86"/>
    </row>
    <row r="53" spans="2:5" x14ac:dyDescent="0.25">
      <c r="E53" s="86"/>
    </row>
    <row r="56" spans="2:5" x14ac:dyDescent="0.25">
      <c r="C56" s="84"/>
    </row>
    <row r="57" spans="2:5" x14ac:dyDescent="0.25">
      <c r="C57" s="84"/>
    </row>
    <row r="58" spans="2:5" x14ac:dyDescent="0.25">
      <c r="C58" s="84"/>
    </row>
    <row r="59" spans="2:5" x14ac:dyDescent="0.25">
      <c r="C59" s="84"/>
    </row>
    <row r="60" spans="2:5" x14ac:dyDescent="0.25">
      <c r="C60" s="84"/>
    </row>
    <row r="61" spans="2:5" x14ac:dyDescent="0.25">
      <c r="C61" s="84"/>
    </row>
    <row r="62" spans="2:5" x14ac:dyDescent="0.25">
      <c r="C62" s="84"/>
    </row>
    <row r="63" spans="2:5" x14ac:dyDescent="0.25">
      <c r="C63" s="84"/>
    </row>
    <row r="64" spans="2:5" x14ac:dyDescent="0.25">
      <c r="C64" s="84"/>
    </row>
    <row r="65" spans="3:4" x14ac:dyDescent="0.25">
      <c r="C65" s="84"/>
    </row>
    <row r="66" spans="3:4" x14ac:dyDescent="0.25">
      <c r="C66" s="84"/>
    </row>
    <row r="67" spans="3:4" x14ac:dyDescent="0.25">
      <c r="C67" s="84"/>
    </row>
    <row r="68" spans="3:4" x14ac:dyDescent="0.25">
      <c r="C68" s="84"/>
    </row>
    <row r="69" spans="3:4" x14ac:dyDescent="0.25">
      <c r="C69" s="84"/>
    </row>
    <row r="70" spans="3:4" x14ac:dyDescent="0.25">
      <c r="C70" s="84"/>
    </row>
    <row r="72" spans="3:4" x14ac:dyDescent="0.25">
      <c r="D72" s="86"/>
    </row>
  </sheetData>
  <mergeCells count="3">
    <mergeCell ref="B6:G6"/>
    <mergeCell ref="B23:F23"/>
    <mergeCell ref="B15:G15"/>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23</vt:i4>
      </vt:variant>
    </vt:vector>
  </HeadingPairs>
  <TitlesOfParts>
    <vt:vector size="23" baseType="lpstr">
      <vt:lpstr>Oppgave 5.1</vt:lpstr>
      <vt:lpstr>Oppgave 5.2</vt:lpstr>
      <vt:lpstr>Oppgave 5.3</vt:lpstr>
      <vt:lpstr>Oppgave 5.4a</vt:lpstr>
      <vt:lpstr>Oppgave 5.4b</vt:lpstr>
      <vt:lpstr>Oppgave 5.5b</vt:lpstr>
      <vt:lpstr>Oppgave 5.6</vt:lpstr>
      <vt:lpstr>Oppgave 5.7</vt:lpstr>
      <vt:lpstr>Oppgave 5.8</vt:lpstr>
      <vt:lpstr>Oppgave 5.9</vt:lpstr>
      <vt:lpstr>Oppgave 5.10</vt:lpstr>
      <vt:lpstr>Oppgave 5.11</vt:lpstr>
      <vt:lpstr>Oppgave 5.11d</vt:lpstr>
      <vt:lpstr>Leasing_nettside</vt:lpstr>
      <vt:lpstr>Gamle 5.8</vt:lpstr>
      <vt:lpstr>Sheet9</vt:lpstr>
      <vt:lpstr>Sheet10</vt:lpstr>
      <vt:lpstr>Sheet11</vt:lpstr>
      <vt:lpstr>Sheet12</vt:lpstr>
      <vt:lpstr>Sheet13</vt:lpstr>
      <vt:lpstr>Sheet14</vt:lpstr>
      <vt:lpstr>Sheet15</vt:lpstr>
      <vt:lpstr>Sheet16</vt:lpstr>
    </vt:vector>
  </TitlesOfParts>
  <Company>Handelshøyskolen BI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Øyvind Bøhren</dc:creator>
  <cp:lastModifiedBy>Malgorzata Golinska</cp:lastModifiedBy>
  <cp:lastPrinted>2019-03-30T07:11:16Z</cp:lastPrinted>
  <dcterms:created xsi:type="dcterms:W3CDTF">1997-10-16T14:06:17Z</dcterms:created>
  <dcterms:modified xsi:type="dcterms:W3CDTF">2020-01-22T07:39:44Z</dcterms:modified>
</cp:coreProperties>
</file>