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drawings/drawing2.xml" ContentType="application/vnd.openxmlformats-officedocument.drawing+xml"/>
  <Override PartName="/xl/comments15.xml" ContentType="application/vnd.openxmlformats-officedocument.spreadsheetml.comments+xml"/>
  <Override PartName="/xl/charts/chart2.xml" ContentType="application/vnd.openxmlformats-officedocument.drawingml.chart+xml"/>
  <Override PartName="/xl/comments16.xml" ContentType="application/vnd.openxmlformats-officedocument.spreadsheetml.comments+xml"/>
  <Override PartName="/xl/drawings/drawing3.xml" ContentType="application/vnd.openxmlformats-officedocument.drawing+xml"/>
  <Override PartName="/xl/comments17.xml" ContentType="application/vnd.openxmlformats-officedocument.spreadsheetml.comments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omments18.xml" ContentType="application/vnd.openxmlformats-officedocument.spreadsheetml.comments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omments19.xml" ContentType="application/vnd.openxmlformats-officedocument.spreadsheetml.comments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omments20.xml" ContentType="application/vnd.openxmlformats-officedocument.spreadsheetml.comments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omments21.xml" ContentType="application/vnd.openxmlformats-officedocument.spreadsheetml.comments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omments22.xml" ContentType="application/vnd.openxmlformats-officedocument.spreadsheetml.comment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omments23.xml" ContentType="application/vnd.openxmlformats-officedocument.spreadsheetml.comments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comments24.xml" ContentType="application/vnd.openxmlformats-officedocument.spreadsheetml.comments+xml"/>
  <Override PartName="/xl/charts/chart11.xml" ContentType="application/vnd.openxmlformats-officedocument.drawingml.chart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malgorzatag\Documents\_PROSJEKTER\_DIGITALE\finans innføring i investering\2019_rettelser for kopi\egne filer\regneark\kap05\"/>
    </mc:Choice>
  </mc:AlternateContent>
  <xr:revisionPtr revIDLastSave="0" documentId="8_{6871CEF5-B2AC-4F33-88AC-7ADD945B05BB}" xr6:coauthVersionLast="45" xr6:coauthVersionMax="45" xr10:uidLastSave="{00000000-0000-0000-0000-000000000000}"/>
  <bookViews>
    <workbookView xWindow="29400" yWindow="120" windowWidth="25275" windowHeight="15495" tabRatio="988" xr2:uid="{00000000-000D-0000-FFFF-FFFF00000000}"/>
  </bookViews>
  <sheets>
    <sheet name="Tabell 5.1 og Figur 5.2" sheetId="39" r:id="rId1"/>
    <sheet name="Tabell 5.2" sheetId="64" r:id="rId2"/>
    <sheet name="Tabell 5.4" sheetId="65" r:id="rId3"/>
    <sheet name="Tabell 5.5" sheetId="66" r:id="rId4"/>
    <sheet name="Tabell 5.6" sheetId="67" r:id="rId5"/>
    <sheet name="Tabell 5.7" sheetId="68" r:id="rId6"/>
    <sheet name="Hagens boliginvestering" sheetId="69" r:id="rId7"/>
    <sheet name="Tabell 5.8" sheetId="60" r:id="rId8"/>
    <sheet name="Tabell 5.9" sheetId="61" r:id="rId9"/>
    <sheet name="Tabell 5.10" sheetId="62" r:id="rId10"/>
    <sheet name="Tabell 5.12" sheetId="5" r:id="rId11"/>
    <sheet name="Tabell 5.13" sheetId="6" r:id="rId12"/>
    <sheet name="Tabell 5.14" sheetId="7" r:id="rId13"/>
    <sheet name="Tabell 5.15" sheetId="19" r:id="rId14"/>
    <sheet name="Tabell 5.16" sheetId="11" r:id="rId15"/>
    <sheet name="Tabell 5.17" sheetId="25" r:id="rId16"/>
    <sheet name="Tabell 5.18" sheetId="59" r:id="rId17"/>
    <sheet name="Tabell 5.20" sheetId="31" r:id="rId18"/>
    <sheet name="Figur 5.2" sheetId="42" r:id="rId19"/>
    <sheet name="Figur 5.4" sheetId="23" r:id="rId20"/>
    <sheet name="Figur 5.5" sheetId="33" r:id="rId21"/>
    <sheet name="Figur 5.6" sheetId="15" r:id="rId22"/>
    <sheet name="Figur 5.7" sheetId="30" r:id="rId23"/>
    <sheet name="Figur 5.9" sheetId="26" r:id="rId24"/>
    <sheet name="Figur 5.10" sheetId="38" r:id="rId25"/>
    <sheet name="Figur Leasing" sheetId="14" r:id="rId26"/>
    <sheet name="Tabell Leasing" sheetId="13" r:id="rId27"/>
    <sheet name="Eksempel N.5.10" sheetId="24" r:id="rId28"/>
    <sheet name="Eksempel N.5.10.a" sheetId="32" r:id="rId29"/>
  </sheets>
  <definedNames>
    <definedName name="_xlnm.Print_Area" localSheetId="17">'Tabell 5.20'!$B$1:$E$7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6" i="23" l="1"/>
  <c r="C3" i="69"/>
  <c r="D3" i="69" s="1"/>
  <c r="E3" i="69" s="1"/>
  <c r="F3" i="69" s="1"/>
  <c r="G3" i="69" s="1"/>
  <c r="G5" i="69"/>
  <c r="B6" i="69"/>
  <c r="B7" i="69"/>
  <c r="C7" i="69" s="1"/>
  <c r="G13" i="69"/>
  <c r="C15" i="69"/>
  <c r="D15" i="69" s="1"/>
  <c r="E15" i="69" s="1"/>
  <c r="B18" i="69"/>
  <c r="C16" i="69" s="1"/>
  <c r="C20" i="69"/>
  <c r="D20" i="69" s="1"/>
  <c r="E20" i="69" s="1"/>
  <c r="F20" i="69" s="1"/>
  <c r="G20" i="69" s="1"/>
  <c r="B21" i="69"/>
  <c r="C24" i="69"/>
  <c r="D24" i="69" s="1"/>
  <c r="E24" i="69" s="1"/>
  <c r="F24" i="69" s="1"/>
  <c r="G24" i="69" s="1"/>
  <c r="J32" i="69"/>
  <c r="B36" i="69"/>
  <c r="C36" i="69" s="1"/>
  <c r="D36" i="69" s="1"/>
  <c r="E36" i="69" s="1"/>
  <c r="F36" i="69" s="1"/>
  <c r="G36" i="69" s="1"/>
  <c r="B47" i="69"/>
  <c r="B8" i="69" s="1"/>
  <c r="C8" i="69" s="1"/>
  <c r="D8" i="69" s="1"/>
  <c r="E8" i="69" s="1"/>
  <c r="F8" i="69" s="1"/>
  <c r="G8" i="69" s="1"/>
  <c r="C3" i="68"/>
  <c r="D3" i="68" s="1"/>
  <c r="E3" i="68" s="1"/>
  <c r="F3" i="68" s="1"/>
  <c r="G3" i="68" s="1"/>
  <c r="G5" i="68"/>
  <c r="B6" i="68"/>
  <c r="B7" i="68"/>
  <c r="G13" i="68"/>
  <c r="C15" i="68"/>
  <c r="D15" i="68" s="1"/>
  <c r="E15" i="68" s="1"/>
  <c r="F15" i="68" s="1"/>
  <c r="B18" i="68"/>
  <c r="C20" i="68"/>
  <c r="D20" i="68" s="1"/>
  <c r="E20" i="68" s="1"/>
  <c r="F20" i="68" s="1"/>
  <c r="G20" i="68" s="1"/>
  <c r="B21" i="68"/>
  <c r="C22" i="68" s="1"/>
  <c r="C24" i="68"/>
  <c r="D24" i="68" s="1"/>
  <c r="E24" i="68" s="1"/>
  <c r="F24" i="68" s="1"/>
  <c r="G24" i="68" s="1"/>
  <c r="J32" i="68"/>
  <c r="B36" i="68"/>
  <c r="C36" i="68" s="1"/>
  <c r="D36" i="68" s="1"/>
  <c r="E36" i="68" s="1"/>
  <c r="F36" i="68" s="1"/>
  <c r="G36" i="68" s="1"/>
  <c r="B47" i="68"/>
  <c r="B8" i="68" s="1"/>
  <c r="C8" i="68" s="1"/>
  <c r="D8" i="68" s="1"/>
  <c r="E8" i="68" s="1"/>
  <c r="F8" i="68" s="1"/>
  <c r="G8" i="68" s="1"/>
  <c r="C3" i="67"/>
  <c r="D3" i="67" s="1"/>
  <c r="E3" i="67" s="1"/>
  <c r="F3" i="67" s="1"/>
  <c r="G3" i="67" s="1"/>
  <c r="G5" i="67"/>
  <c r="B6" i="67"/>
  <c r="B7" i="67"/>
  <c r="C7" i="67" s="1"/>
  <c r="D7" i="67" s="1"/>
  <c r="E7" i="67" s="1"/>
  <c r="G13" i="67"/>
  <c r="C15" i="67"/>
  <c r="B18" i="67"/>
  <c r="C16" i="67" s="1"/>
  <c r="C20" i="67"/>
  <c r="D20" i="67" s="1"/>
  <c r="E20" i="67" s="1"/>
  <c r="F20" i="67" s="1"/>
  <c r="G20" i="67" s="1"/>
  <c r="B21" i="67"/>
  <c r="C22" i="67" s="1"/>
  <c r="C24" i="67"/>
  <c r="D24" i="67" s="1"/>
  <c r="E24" i="67" s="1"/>
  <c r="F24" i="67" s="1"/>
  <c r="G24" i="67" s="1"/>
  <c r="J32" i="67"/>
  <c r="B36" i="67"/>
  <c r="C36" i="67" s="1"/>
  <c r="D36" i="67" s="1"/>
  <c r="E36" i="67" s="1"/>
  <c r="F36" i="67" s="1"/>
  <c r="G36" i="67" s="1"/>
  <c r="B47" i="67"/>
  <c r="B8" i="67" s="1"/>
  <c r="C3" i="66"/>
  <c r="D3" i="66" s="1"/>
  <c r="E3" i="66" s="1"/>
  <c r="F3" i="66" s="1"/>
  <c r="G3" i="66" s="1"/>
  <c r="G5" i="66"/>
  <c r="B6" i="66"/>
  <c r="B7" i="66"/>
  <c r="C7" i="66" s="1"/>
  <c r="D7" i="66" s="1"/>
  <c r="E7" i="66" s="1"/>
  <c r="F7" i="66" s="1"/>
  <c r="G13" i="66"/>
  <c r="C15" i="66"/>
  <c r="D15" i="66" s="1"/>
  <c r="E15" i="66" s="1"/>
  <c r="B18" i="66"/>
  <c r="C20" i="66"/>
  <c r="D20" i="66" s="1"/>
  <c r="E20" i="66" s="1"/>
  <c r="F20" i="66" s="1"/>
  <c r="G20" i="66" s="1"/>
  <c r="B21" i="66"/>
  <c r="C22" i="66" s="1"/>
  <c r="C24" i="66"/>
  <c r="D24" i="66" s="1"/>
  <c r="E24" i="66" s="1"/>
  <c r="F24" i="66" s="1"/>
  <c r="G24" i="66" s="1"/>
  <c r="J32" i="66"/>
  <c r="B36" i="66"/>
  <c r="C36" i="66" s="1"/>
  <c r="D36" i="66" s="1"/>
  <c r="E36" i="66" s="1"/>
  <c r="F36" i="66" s="1"/>
  <c r="G36" i="66" s="1"/>
  <c r="B47" i="66"/>
  <c r="B8" i="66" s="1"/>
  <c r="C8" i="66" s="1"/>
  <c r="C3" i="65"/>
  <c r="D3" i="65" s="1"/>
  <c r="E3" i="65" s="1"/>
  <c r="F3" i="65" s="1"/>
  <c r="G3" i="65" s="1"/>
  <c r="G5" i="65"/>
  <c r="B6" i="65"/>
  <c r="B7" i="65"/>
  <c r="C7" i="65" s="1"/>
  <c r="D7" i="65" s="1"/>
  <c r="G13" i="65"/>
  <c r="C15" i="65"/>
  <c r="D15" i="65" s="1"/>
  <c r="E15" i="65" s="1"/>
  <c r="F15" i="65" s="1"/>
  <c r="G15" i="65" s="1"/>
  <c r="B18" i="65"/>
  <c r="C20" i="65"/>
  <c r="D20" i="65" s="1"/>
  <c r="E20" i="65" s="1"/>
  <c r="F20" i="65" s="1"/>
  <c r="G20" i="65" s="1"/>
  <c r="B21" i="65"/>
  <c r="C22" i="65" s="1"/>
  <c r="B25" i="65"/>
  <c r="G25" i="65" s="1"/>
  <c r="J33" i="65"/>
  <c r="B37" i="65"/>
  <c r="C37" i="65" s="1"/>
  <c r="D37" i="65" s="1"/>
  <c r="E37" i="65" s="1"/>
  <c r="F37" i="65" s="1"/>
  <c r="G37" i="65" s="1"/>
  <c r="B48" i="65"/>
  <c r="B8" i="65" s="1"/>
  <c r="C8" i="65" s="1"/>
  <c r="D8" i="65" s="1"/>
  <c r="E8" i="65" s="1"/>
  <c r="F8" i="65" s="1"/>
  <c r="G8" i="65" s="1"/>
  <c r="C3" i="64"/>
  <c r="D3" i="64" s="1"/>
  <c r="E3" i="64" s="1"/>
  <c r="F3" i="64" s="1"/>
  <c r="G3" i="64" s="1"/>
  <c r="G5" i="64"/>
  <c r="B6" i="64"/>
  <c r="B7" i="64"/>
  <c r="C7" i="64" s="1"/>
  <c r="G13" i="64"/>
  <c r="C15" i="64"/>
  <c r="D15" i="64" s="1"/>
  <c r="E15" i="64" s="1"/>
  <c r="F15" i="64" s="1"/>
  <c r="G15" i="64" s="1"/>
  <c r="B18" i="64"/>
  <c r="C16" i="64" s="1"/>
  <c r="C20" i="64"/>
  <c r="D20" i="64" s="1"/>
  <c r="E20" i="64" s="1"/>
  <c r="F20" i="64" s="1"/>
  <c r="G20" i="64" s="1"/>
  <c r="B21" i="64"/>
  <c r="C22" i="64" s="1"/>
  <c r="C24" i="64"/>
  <c r="D24" i="64" s="1"/>
  <c r="E24" i="64" s="1"/>
  <c r="F24" i="64" s="1"/>
  <c r="G24" i="64" s="1"/>
  <c r="J32" i="64"/>
  <c r="B36" i="64"/>
  <c r="C36" i="64" s="1"/>
  <c r="D36" i="64" s="1"/>
  <c r="E36" i="64" s="1"/>
  <c r="F36" i="64" s="1"/>
  <c r="G36" i="64" s="1"/>
  <c r="B47" i="64"/>
  <c r="B8" i="64" s="1"/>
  <c r="C8" i="64" s="1"/>
  <c r="D8" i="64" s="1"/>
  <c r="E8" i="64" s="1"/>
  <c r="F8" i="64" s="1"/>
  <c r="G8" i="64" s="1"/>
  <c r="G29" i="68" l="1"/>
  <c r="G30" i="68" s="1"/>
  <c r="C25" i="64"/>
  <c r="C31" i="64" s="1"/>
  <c r="B32" i="68"/>
  <c r="B33" i="68" s="1"/>
  <c r="B34" i="68" s="1"/>
  <c r="C25" i="67"/>
  <c r="C44" i="67" s="1"/>
  <c r="C21" i="68"/>
  <c r="D21" i="68" s="1"/>
  <c r="B9" i="69"/>
  <c r="B27" i="69" s="1"/>
  <c r="C21" i="67"/>
  <c r="G29" i="66"/>
  <c r="G30" i="66" s="1"/>
  <c r="B9" i="65"/>
  <c r="B28" i="65" s="1"/>
  <c r="G30" i="65"/>
  <c r="G31" i="65" s="1"/>
  <c r="C17" i="64"/>
  <c r="C18" i="64" s="1"/>
  <c r="D16" i="64" s="1"/>
  <c r="D17" i="64" s="1"/>
  <c r="B9" i="64"/>
  <c r="B27" i="64" s="1"/>
  <c r="C17" i="69"/>
  <c r="C26" i="69" s="1"/>
  <c r="B32" i="66"/>
  <c r="B33" i="66" s="1"/>
  <c r="B34" i="66" s="1"/>
  <c r="C21" i="64"/>
  <c r="B32" i="64"/>
  <c r="B33" i="64" s="1"/>
  <c r="B34" i="64" s="1"/>
  <c r="C21" i="66"/>
  <c r="C17" i="67"/>
  <c r="C26" i="67" s="1"/>
  <c r="F15" i="66"/>
  <c r="D8" i="66"/>
  <c r="E8" i="66" s="1"/>
  <c r="F8" i="66" s="1"/>
  <c r="G8" i="66" s="1"/>
  <c r="C9" i="66"/>
  <c r="G7" i="66"/>
  <c r="C8" i="67"/>
  <c r="B32" i="67"/>
  <c r="B33" i="67" s="1"/>
  <c r="B34" i="67" s="1"/>
  <c r="C9" i="64"/>
  <c r="C32" i="64"/>
  <c r="C33" i="64" s="1"/>
  <c r="C34" i="64" s="1"/>
  <c r="C33" i="65"/>
  <c r="C34" i="65" s="1"/>
  <c r="C24" i="65"/>
  <c r="D24" i="65" s="1"/>
  <c r="E24" i="65" s="1"/>
  <c r="F24" i="65" s="1"/>
  <c r="G24" i="65" s="1"/>
  <c r="C16" i="65"/>
  <c r="D9" i="65"/>
  <c r="F7" i="67"/>
  <c r="G29" i="67"/>
  <c r="G30" i="67" s="1"/>
  <c r="C7" i="68"/>
  <c r="B9" i="68"/>
  <c r="F15" i="69"/>
  <c r="B33" i="65"/>
  <c r="B34" i="65" s="1"/>
  <c r="B35" i="65" s="1"/>
  <c r="C16" i="66"/>
  <c r="B9" i="66"/>
  <c r="D22" i="68"/>
  <c r="G29" i="64"/>
  <c r="G30" i="64" s="1"/>
  <c r="C32" i="66"/>
  <c r="C33" i="66" s="1"/>
  <c r="C26" i="64"/>
  <c r="D7" i="64"/>
  <c r="D33" i="65"/>
  <c r="D34" i="65" s="1"/>
  <c r="C21" i="65"/>
  <c r="C9" i="65"/>
  <c r="E7" i="65"/>
  <c r="D15" i="67"/>
  <c r="G15" i="68"/>
  <c r="C9" i="69"/>
  <c r="C32" i="69"/>
  <c r="C33" i="69" s="1"/>
  <c r="D7" i="69"/>
  <c r="B9" i="67"/>
  <c r="C16" i="68"/>
  <c r="B32" i="69"/>
  <c r="B33" i="69" s="1"/>
  <c r="B34" i="69" s="1"/>
  <c r="C21" i="69"/>
  <c r="C22" i="69"/>
  <c r="C25" i="69" s="1"/>
  <c r="C31" i="69" s="1"/>
  <c r="G29" i="69"/>
  <c r="G30" i="69" s="1"/>
  <c r="B11" i="5"/>
  <c r="C18" i="69" l="1"/>
  <c r="C31" i="67"/>
  <c r="C18" i="67"/>
  <c r="D16" i="67" s="1"/>
  <c r="D21" i="67"/>
  <c r="D22" i="67"/>
  <c r="C34" i="69"/>
  <c r="E9" i="66"/>
  <c r="D21" i="64"/>
  <c r="D22" i="64"/>
  <c r="D25" i="64" s="1"/>
  <c r="D31" i="64" s="1"/>
  <c r="C27" i="69"/>
  <c r="D21" i="66"/>
  <c r="D22" i="66"/>
  <c r="D21" i="65"/>
  <c r="D22" i="65"/>
  <c r="G7" i="67"/>
  <c r="B35" i="69"/>
  <c r="D32" i="66"/>
  <c r="D33" i="66" s="1"/>
  <c r="B35" i="64"/>
  <c r="F9" i="66"/>
  <c r="C17" i="68"/>
  <c r="C25" i="68"/>
  <c r="D9" i="69"/>
  <c r="D32" i="69"/>
  <c r="D33" i="69" s="1"/>
  <c r="E7" i="69"/>
  <c r="F7" i="65"/>
  <c r="E9" i="65"/>
  <c r="E33" i="65"/>
  <c r="E34" i="65" s="1"/>
  <c r="D9" i="66"/>
  <c r="E32" i="66"/>
  <c r="E33" i="66" s="1"/>
  <c r="G15" i="69"/>
  <c r="G32" i="66"/>
  <c r="G33" i="66" s="1"/>
  <c r="G9" i="66"/>
  <c r="G15" i="66"/>
  <c r="D21" i="69"/>
  <c r="D22" i="69"/>
  <c r="D16" i="69"/>
  <c r="C17" i="66"/>
  <c r="C25" i="66"/>
  <c r="D7" i="68"/>
  <c r="C32" i="68"/>
  <c r="C33" i="68" s="1"/>
  <c r="C9" i="68"/>
  <c r="C26" i="65"/>
  <c r="C32" i="65" s="1"/>
  <c r="C35" i="65" s="1"/>
  <c r="C17" i="65"/>
  <c r="F32" i="66"/>
  <c r="F33" i="66" s="1"/>
  <c r="B27" i="67"/>
  <c r="E15" i="67"/>
  <c r="B36" i="65"/>
  <c r="D26" i="64"/>
  <c r="D18" i="64"/>
  <c r="C27" i="64"/>
  <c r="C35" i="64" s="1"/>
  <c r="C37" i="64" s="1"/>
  <c r="D32" i="64"/>
  <c r="D33" i="64" s="1"/>
  <c r="E7" i="64"/>
  <c r="D9" i="64"/>
  <c r="E21" i="68"/>
  <c r="E22" i="68"/>
  <c r="B27" i="66"/>
  <c r="B27" i="68"/>
  <c r="D8" i="67"/>
  <c r="C9" i="67"/>
  <c r="C27" i="67" s="1"/>
  <c r="C32" i="67"/>
  <c r="C33" i="67" s="1"/>
  <c r="C34" i="67" s="1"/>
  <c r="C3" i="39"/>
  <c r="D3" i="39" s="1"/>
  <c r="E3" i="39" s="1"/>
  <c r="D25" i="67" l="1"/>
  <c r="C35" i="69"/>
  <c r="C37" i="69" s="1"/>
  <c r="D34" i="64"/>
  <c r="E22" i="67"/>
  <c r="E21" i="67"/>
  <c r="E21" i="66"/>
  <c r="E22" i="66"/>
  <c r="E22" i="64"/>
  <c r="E21" i="64"/>
  <c r="E8" i="67"/>
  <c r="D9" i="67"/>
  <c r="D32" i="67"/>
  <c r="D33" i="67" s="1"/>
  <c r="C27" i="65"/>
  <c r="C28" i="65" s="1"/>
  <c r="C18" i="65"/>
  <c r="C31" i="68"/>
  <c r="C34" i="68" s="1"/>
  <c r="D31" i="67"/>
  <c r="D44" i="67"/>
  <c r="D27" i="64"/>
  <c r="B35" i="67"/>
  <c r="C31" i="66"/>
  <c r="C34" i="66" s="1"/>
  <c r="C44" i="66"/>
  <c r="E9" i="69"/>
  <c r="E32" i="69"/>
  <c r="E33" i="69" s="1"/>
  <c r="F7" i="69"/>
  <c r="C26" i="68"/>
  <c r="C27" i="68" s="1"/>
  <c r="C18" i="68"/>
  <c r="D25" i="69"/>
  <c r="D31" i="69" s="1"/>
  <c r="D34" i="69" s="1"/>
  <c r="D17" i="69"/>
  <c r="E32" i="64"/>
  <c r="E33" i="64" s="1"/>
  <c r="F7" i="64"/>
  <c r="E9" i="64"/>
  <c r="C26" i="66"/>
  <c r="C27" i="66" s="1"/>
  <c r="C18" i="66"/>
  <c r="F33" i="65"/>
  <c r="F34" i="65" s="1"/>
  <c r="G7" i="65"/>
  <c r="F9" i="65"/>
  <c r="B37" i="64"/>
  <c r="B37" i="69"/>
  <c r="E21" i="65"/>
  <c r="E22" i="65"/>
  <c r="B35" i="66"/>
  <c r="F15" i="67"/>
  <c r="D9" i="68"/>
  <c r="D32" i="68"/>
  <c r="D33" i="68" s="1"/>
  <c r="E7" i="68"/>
  <c r="L9" i="66"/>
  <c r="B38" i="65"/>
  <c r="B35" i="68"/>
  <c r="C35" i="67"/>
  <c r="C37" i="67" s="1"/>
  <c r="F21" i="68"/>
  <c r="F22" i="68"/>
  <c r="E16" i="64"/>
  <c r="D17" i="67"/>
  <c r="E22" i="69"/>
  <c r="E21" i="69"/>
  <c r="C20" i="62"/>
  <c r="D19" i="62"/>
  <c r="E19" i="62" s="1"/>
  <c r="B19" i="62"/>
  <c r="G13" i="62"/>
  <c r="F10" i="62"/>
  <c r="F11" i="62" s="1"/>
  <c r="P8" i="62"/>
  <c r="O8" i="62"/>
  <c r="N8" i="62"/>
  <c r="M8" i="62"/>
  <c r="L8" i="62"/>
  <c r="K8" i="62"/>
  <c r="J8" i="62"/>
  <c r="I8" i="62"/>
  <c r="H8" i="62"/>
  <c r="G8" i="62"/>
  <c r="P6" i="62"/>
  <c r="O6" i="62"/>
  <c r="N6" i="62"/>
  <c r="M6" i="62"/>
  <c r="L6" i="62"/>
  <c r="K6" i="62"/>
  <c r="J6" i="62"/>
  <c r="I6" i="62"/>
  <c r="H6" i="62"/>
  <c r="G6" i="62"/>
  <c r="P5" i="62"/>
  <c r="O5" i="62"/>
  <c r="N5" i="62"/>
  <c r="M5" i="62"/>
  <c r="L5" i="62"/>
  <c r="K5" i="62"/>
  <c r="J5" i="62"/>
  <c r="I5" i="62"/>
  <c r="H5" i="62"/>
  <c r="G5" i="62"/>
  <c r="P4" i="62"/>
  <c r="O4" i="62"/>
  <c r="N4" i="62"/>
  <c r="M4" i="62"/>
  <c r="L4" i="62"/>
  <c r="K4" i="62"/>
  <c r="J4" i="62"/>
  <c r="I4" i="62"/>
  <c r="H4" i="62"/>
  <c r="G4" i="62"/>
  <c r="G3" i="62"/>
  <c r="D16" i="61"/>
  <c r="B16" i="61"/>
  <c r="G13" i="61"/>
  <c r="F10" i="61"/>
  <c r="P8" i="61"/>
  <c r="O8" i="61"/>
  <c r="N8" i="61"/>
  <c r="M8" i="61"/>
  <c r="L8" i="61"/>
  <c r="K8" i="61"/>
  <c r="J8" i="61"/>
  <c r="I8" i="61"/>
  <c r="H8" i="61"/>
  <c r="G8" i="61"/>
  <c r="P6" i="61"/>
  <c r="O6" i="61"/>
  <c r="N6" i="61"/>
  <c r="M6" i="61"/>
  <c r="L6" i="61"/>
  <c r="K6" i="61"/>
  <c r="J6" i="61"/>
  <c r="I6" i="61"/>
  <c r="H6" i="61"/>
  <c r="G6" i="61"/>
  <c r="P5" i="61"/>
  <c r="O5" i="61"/>
  <c r="N5" i="61"/>
  <c r="M5" i="61"/>
  <c r="L5" i="61"/>
  <c r="K5" i="61"/>
  <c r="J5" i="61"/>
  <c r="I5" i="61"/>
  <c r="H5" i="61"/>
  <c r="G5" i="61"/>
  <c r="P4" i="61"/>
  <c r="O4" i="61"/>
  <c r="N4" i="61"/>
  <c r="M4" i="61"/>
  <c r="L4" i="61"/>
  <c r="K4" i="61"/>
  <c r="J4" i="61"/>
  <c r="I4" i="61"/>
  <c r="H4" i="61"/>
  <c r="G4" i="61"/>
  <c r="G3" i="61"/>
  <c r="H3" i="61" s="1"/>
  <c r="I3" i="61" s="1"/>
  <c r="J3" i="61" s="1"/>
  <c r="K3" i="61" s="1"/>
  <c r="L3" i="61" s="1"/>
  <c r="M3" i="61" s="1"/>
  <c r="D16" i="60"/>
  <c r="B16" i="60"/>
  <c r="G13" i="60"/>
  <c r="F10" i="60"/>
  <c r="F11" i="60" s="1"/>
  <c r="P8" i="60"/>
  <c r="O8" i="60"/>
  <c r="N8" i="60"/>
  <c r="M8" i="60"/>
  <c r="L8" i="60"/>
  <c r="K8" i="60"/>
  <c r="J8" i="60"/>
  <c r="I8" i="60"/>
  <c r="H8" i="60"/>
  <c r="G8" i="60"/>
  <c r="P6" i="60"/>
  <c r="O6" i="60"/>
  <c r="N6" i="60"/>
  <c r="M6" i="60"/>
  <c r="L6" i="60"/>
  <c r="K6" i="60"/>
  <c r="J6" i="60"/>
  <c r="I6" i="60"/>
  <c r="H6" i="60"/>
  <c r="G6" i="60"/>
  <c r="P5" i="60"/>
  <c r="O5" i="60"/>
  <c r="N5" i="60"/>
  <c r="M5" i="60"/>
  <c r="L5" i="60"/>
  <c r="K5" i="60"/>
  <c r="J5" i="60"/>
  <c r="I5" i="60"/>
  <c r="H5" i="60"/>
  <c r="G5" i="60"/>
  <c r="P4" i="60"/>
  <c r="O4" i="60"/>
  <c r="N4" i="60"/>
  <c r="M4" i="60"/>
  <c r="L4" i="60"/>
  <c r="K4" i="60"/>
  <c r="J4" i="60"/>
  <c r="I4" i="60"/>
  <c r="H4" i="60"/>
  <c r="G4" i="60"/>
  <c r="G3" i="60"/>
  <c r="H3" i="60" s="1"/>
  <c r="C8" i="39"/>
  <c r="H4" i="39"/>
  <c r="F11" i="59"/>
  <c r="E11" i="59"/>
  <c r="D11" i="59"/>
  <c r="C11" i="59"/>
  <c r="C10" i="59"/>
  <c r="D10" i="59" s="1"/>
  <c r="I12" i="25"/>
  <c r="I17" i="25" s="1"/>
  <c r="H12" i="25"/>
  <c r="H17" i="25" s="1"/>
  <c r="G12" i="25"/>
  <c r="G17" i="25" s="1"/>
  <c r="F12" i="25"/>
  <c r="F17" i="25" s="1"/>
  <c r="E12" i="25"/>
  <c r="E17" i="25" s="1"/>
  <c r="D12" i="25"/>
  <c r="D17" i="25" s="1"/>
  <c r="C12" i="25"/>
  <c r="C17" i="25" s="1"/>
  <c r="I11" i="25"/>
  <c r="I16" i="25" s="1"/>
  <c r="H11" i="25"/>
  <c r="H16" i="25" s="1"/>
  <c r="G11" i="25"/>
  <c r="G16" i="25" s="1"/>
  <c r="F11" i="25"/>
  <c r="F16" i="25" s="1"/>
  <c r="E11" i="25"/>
  <c r="E16" i="25" s="1"/>
  <c r="D11" i="25"/>
  <c r="D16" i="25" s="1"/>
  <c r="C11" i="25"/>
  <c r="C16" i="25" s="1"/>
  <c r="I10" i="25"/>
  <c r="I15" i="25" s="1"/>
  <c r="H10" i="25"/>
  <c r="H15" i="25" s="1"/>
  <c r="G10" i="25"/>
  <c r="G15" i="25" s="1"/>
  <c r="F10" i="25"/>
  <c r="F15" i="25" s="1"/>
  <c r="E10" i="25"/>
  <c r="E15" i="25" s="1"/>
  <c r="D10" i="25"/>
  <c r="D15" i="25" s="1"/>
  <c r="C10" i="25"/>
  <c r="C15" i="25" s="1"/>
  <c r="L12" i="25"/>
  <c r="K12" i="25"/>
  <c r="K17" i="25" s="1"/>
  <c r="L11" i="25"/>
  <c r="L16" i="25" s="1"/>
  <c r="K11" i="25"/>
  <c r="K16" i="25" s="1"/>
  <c r="L10" i="25"/>
  <c r="L15" i="25" s="1"/>
  <c r="K10" i="25"/>
  <c r="K15" i="25" s="1"/>
  <c r="L9" i="25"/>
  <c r="K9" i="25"/>
  <c r="K14" i="25" s="1"/>
  <c r="I9" i="25"/>
  <c r="I14" i="25" s="1"/>
  <c r="H9" i="25"/>
  <c r="H14" i="25" s="1"/>
  <c r="G9" i="25"/>
  <c r="G14" i="25" s="1"/>
  <c r="F9" i="25"/>
  <c r="F14" i="25" s="1"/>
  <c r="E9" i="25"/>
  <c r="E14" i="25" s="1"/>
  <c r="D9" i="25"/>
  <c r="D14" i="25" s="1"/>
  <c r="C9" i="25"/>
  <c r="C14" i="25" s="1"/>
  <c r="B6" i="33"/>
  <c r="B24" i="42"/>
  <c r="C11" i="42"/>
  <c r="A11" i="42"/>
  <c r="C10" i="42"/>
  <c r="A10" i="42"/>
  <c r="D9" i="42"/>
  <c r="C24" i="42" s="1"/>
  <c r="B9" i="42"/>
  <c r="B10" i="42" s="1"/>
  <c r="W6" i="42"/>
  <c r="W5" i="42"/>
  <c r="C4" i="42"/>
  <c r="D4" i="42" s="1"/>
  <c r="E4" i="42" s="1"/>
  <c r="F4" i="42" s="1"/>
  <c r="G4" i="42" s="1"/>
  <c r="H4" i="42" s="1"/>
  <c r="I4" i="42" s="1"/>
  <c r="J4" i="42" s="1"/>
  <c r="K4" i="42" s="1"/>
  <c r="L4" i="42" s="1"/>
  <c r="M4" i="42" s="1"/>
  <c r="N4" i="42" s="1"/>
  <c r="O4" i="42" s="1"/>
  <c r="P4" i="42" s="1"/>
  <c r="Q4" i="42" s="1"/>
  <c r="R4" i="42" s="1"/>
  <c r="S4" i="42" s="1"/>
  <c r="T4" i="42" s="1"/>
  <c r="U4" i="42" s="1"/>
  <c r="V4" i="42" s="1"/>
  <c r="V3" i="39"/>
  <c r="B7" i="39"/>
  <c r="B9" i="39" s="1"/>
  <c r="D7" i="39"/>
  <c r="E7" i="39" s="1"/>
  <c r="A9" i="39"/>
  <c r="C9" i="39"/>
  <c r="B22" i="39"/>
  <c r="F11" i="38"/>
  <c r="E11" i="38"/>
  <c r="D11" i="38"/>
  <c r="C11" i="38"/>
  <c r="C10" i="38"/>
  <c r="D10" i="38" s="1"/>
  <c r="H7" i="31"/>
  <c r="I7" i="31" s="1"/>
  <c r="H6" i="31"/>
  <c r="I6" i="31" s="1"/>
  <c r="H5" i="31"/>
  <c r="I5" i="31" s="1"/>
  <c r="I4" i="31"/>
  <c r="C14" i="5"/>
  <c r="A9" i="32"/>
  <c r="A8" i="32"/>
  <c r="B16" i="32" s="1"/>
  <c r="A7" i="32"/>
  <c r="A6" i="32"/>
  <c r="B8" i="24"/>
  <c r="B9" i="24" s="1"/>
  <c r="B7" i="24"/>
  <c r="C25" i="30"/>
  <c r="C35" i="30" s="1"/>
  <c r="B23" i="30"/>
  <c r="B24" i="30" s="1"/>
  <c r="C11" i="30"/>
  <c r="D11" i="30" s="1"/>
  <c r="B10" i="30"/>
  <c r="B16" i="30" s="1"/>
  <c r="B19" i="30" s="1"/>
  <c r="B16" i="26"/>
  <c r="B15" i="26"/>
  <c r="B14" i="26"/>
  <c r="B13" i="26"/>
  <c r="B12" i="26"/>
  <c r="B11" i="26"/>
  <c r="B10" i="26"/>
  <c r="B9" i="26"/>
  <c r="B8" i="26"/>
  <c r="B11" i="23"/>
  <c r="B12" i="23" s="1"/>
  <c r="B13" i="23"/>
  <c r="C14" i="23"/>
  <c r="D14" i="23" s="1"/>
  <c r="E14" i="23" s="1"/>
  <c r="B18" i="23"/>
  <c r="B9" i="13"/>
  <c r="C13" i="13"/>
  <c r="B9" i="11"/>
  <c r="B15" i="11" s="1"/>
  <c r="B18" i="11" s="1"/>
  <c r="C10" i="11"/>
  <c r="D10" i="11" s="1"/>
  <c r="B22" i="11"/>
  <c r="C24" i="11"/>
  <c r="C36" i="11" s="1"/>
  <c r="B9" i="19"/>
  <c r="C9" i="19" s="1"/>
  <c r="D9" i="19" s="1"/>
  <c r="E9" i="19" s="1"/>
  <c r="F9" i="19" s="1"/>
  <c r="B10" i="7"/>
  <c r="B11" i="7" s="1"/>
  <c r="B12" i="7"/>
  <c r="C13" i="7"/>
  <c r="B17" i="7"/>
  <c r="B26" i="7"/>
  <c r="C31" i="7" s="1"/>
  <c r="D31" i="7" s="1"/>
  <c r="B29" i="7"/>
  <c r="B30" i="7" s="1"/>
  <c r="C32" i="7" s="1"/>
  <c r="B37" i="7"/>
  <c r="B12" i="5"/>
  <c r="C15" i="5" s="1"/>
  <c r="B13" i="5"/>
  <c r="B17" i="5" s="1"/>
  <c r="B20" i="5" s="1"/>
  <c r="B8" i="6" s="1"/>
  <c r="B18" i="5"/>
  <c r="D14" i="5"/>
  <c r="E14" i="5" s="1"/>
  <c r="F14" i="5" s="1"/>
  <c r="B11" i="11"/>
  <c r="E9" i="42"/>
  <c r="E10" i="42" s="1"/>
  <c r="D11" i="42"/>
  <c r="E11" i="42"/>
  <c r="B8" i="39"/>
  <c r="B28" i="30" l="1"/>
  <c r="B31" i="30" s="1"/>
  <c r="D35" i="64"/>
  <c r="D37" i="64" s="1"/>
  <c r="D25" i="30"/>
  <c r="E25" i="30" s="1"/>
  <c r="C34" i="7"/>
  <c r="C30" i="7"/>
  <c r="B34" i="7"/>
  <c r="D10" i="42"/>
  <c r="B11" i="42"/>
  <c r="D8" i="39"/>
  <c r="M12" i="25"/>
  <c r="M17" i="25" s="1"/>
  <c r="L17" i="25"/>
  <c r="M9" i="25"/>
  <c r="M14" i="25" s="1"/>
  <c r="L14" i="25"/>
  <c r="D22" i="39"/>
  <c r="E9" i="39"/>
  <c r="C12" i="38"/>
  <c r="C12" i="59"/>
  <c r="C12" i="5"/>
  <c r="D15" i="5" s="1"/>
  <c r="M7" i="61"/>
  <c r="M11" i="61" s="1"/>
  <c r="C26" i="30"/>
  <c r="C29" i="30" s="1"/>
  <c r="C24" i="30"/>
  <c r="E10" i="59"/>
  <c r="D12" i="59"/>
  <c r="E35" i="30"/>
  <c r="F25" i="30"/>
  <c r="D12" i="5"/>
  <c r="E12" i="5" s="1"/>
  <c r="C10" i="13"/>
  <c r="C18" i="13" s="1"/>
  <c r="D35" i="30"/>
  <c r="D24" i="11"/>
  <c r="E24" i="11" s="1"/>
  <c r="F22" i="67"/>
  <c r="F21" i="67"/>
  <c r="B16" i="13"/>
  <c r="B22" i="13" s="1"/>
  <c r="D20" i="62"/>
  <c r="J7" i="62"/>
  <c r="J11" i="62" s="1"/>
  <c r="F19" i="62"/>
  <c r="F20" i="62" s="1"/>
  <c r="E20" i="62"/>
  <c r="N7" i="62"/>
  <c r="N11" i="62" s="1"/>
  <c r="O7" i="62"/>
  <c r="O11" i="62" s="1"/>
  <c r="H7" i="62"/>
  <c r="H11" i="62" s="1"/>
  <c r="G7" i="62"/>
  <c r="G11" i="62" s="1"/>
  <c r="L7" i="62"/>
  <c r="L11" i="62" s="1"/>
  <c r="I7" i="62"/>
  <c r="I11" i="62" s="1"/>
  <c r="M7" i="62"/>
  <c r="M11" i="62" s="1"/>
  <c r="K7" i="62"/>
  <c r="K11" i="62" s="1"/>
  <c r="P7" i="61"/>
  <c r="N7" i="61"/>
  <c r="N11" i="61" s="1"/>
  <c r="O7" i="61"/>
  <c r="O11" i="61" s="1"/>
  <c r="M7" i="60"/>
  <c r="M11" i="60" s="1"/>
  <c r="J7" i="60"/>
  <c r="J11" i="60" s="1"/>
  <c r="O7" i="60"/>
  <c r="O11" i="60" s="1"/>
  <c r="L7" i="60"/>
  <c r="L11" i="60" s="1"/>
  <c r="G7" i="60"/>
  <c r="G11" i="60" s="1"/>
  <c r="K7" i="60"/>
  <c r="K11" i="60" s="1"/>
  <c r="P7" i="60"/>
  <c r="I3" i="60"/>
  <c r="I7" i="60"/>
  <c r="I11" i="60" s="1"/>
  <c r="H7" i="60"/>
  <c r="H11" i="60" s="1"/>
  <c r="N7" i="60"/>
  <c r="N11" i="60" s="1"/>
  <c r="E16" i="60"/>
  <c r="P10" i="60"/>
  <c r="B12" i="25"/>
  <c r="B17" i="25" s="1"/>
  <c r="H3" i="62"/>
  <c r="N3" i="61"/>
  <c r="G19" i="62"/>
  <c r="B11" i="32"/>
  <c r="B12" i="32" s="1"/>
  <c r="B13" i="32" s="1"/>
  <c r="B17" i="32"/>
  <c r="B18" i="32" s="1"/>
  <c r="B21" i="32" s="1"/>
  <c r="C13" i="11"/>
  <c r="B6" i="15"/>
  <c r="F14" i="23"/>
  <c r="E10" i="11"/>
  <c r="M10" i="25"/>
  <c r="M15" i="25" s="1"/>
  <c r="D13" i="7"/>
  <c r="D24" i="42"/>
  <c r="F9" i="42"/>
  <c r="B15" i="23"/>
  <c r="C18" i="23" s="1"/>
  <c r="C12" i="23"/>
  <c r="F7" i="39"/>
  <c r="E8" i="39"/>
  <c r="E31" i="7"/>
  <c r="B14" i="7"/>
  <c r="C17" i="7" s="1"/>
  <c r="C11" i="7"/>
  <c r="D13" i="13"/>
  <c r="C21" i="13"/>
  <c r="D12" i="38"/>
  <c r="E10" i="38"/>
  <c r="M11" i="25"/>
  <c r="M16" i="25" s="1"/>
  <c r="H7" i="61"/>
  <c r="H11" i="61" s="1"/>
  <c r="F11" i="61"/>
  <c r="P10" i="61"/>
  <c r="P10" i="62"/>
  <c r="D30" i="7"/>
  <c r="D32" i="7"/>
  <c r="D34" i="7" s="1"/>
  <c r="E11" i="30"/>
  <c r="D9" i="39"/>
  <c r="C22" i="39"/>
  <c r="D26" i="30"/>
  <c r="D24" i="30"/>
  <c r="C39" i="30"/>
  <c r="B23" i="11"/>
  <c r="B27" i="11"/>
  <c r="P7" i="62"/>
  <c r="G7" i="61"/>
  <c r="G11" i="61" s="1"/>
  <c r="D4" i="33"/>
  <c r="D3" i="33"/>
  <c r="D5" i="33"/>
  <c r="I7" i="61"/>
  <c r="I11" i="61" s="1"/>
  <c r="C35" i="66"/>
  <c r="C37" i="66" s="1"/>
  <c r="F22" i="64"/>
  <c r="F21" i="64"/>
  <c r="B10" i="19"/>
  <c r="B11" i="19" s="1"/>
  <c r="C11" i="19" s="1"/>
  <c r="J7" i="61"/>
  <c r="J11" i="61" s="1"/>
  <c r="B12" i="30"/>
  <c r="K7" i="61"/>
  <c r="K11" i="61" s="1"/>
  <c r="L7" i="61"/>
  <c r="L11" i="61" s="1"/>
  <c r="F22" i="66"/>
  <c r="F21" i="66"/>
  <c r="C35" i="68"/>
  <c r="C37" i="68" s="1"/>
  <c r="G7" i="69"/>
  <c r="F9" i="69"/>
  <c r="F32" i="69"/>
  <c r="F33" i="69" s="1"/>
  <c r="D26" i="67"/>
  <c r="D27" i="67" s="1"/>
  <c r="D18" i="67"/>
  <c r="G33" i="65"/>
  <c r="G34" i="65" s="1"/>
  <c r="G9" i="65"/>
  <c r="L9" i="65" s="1"/>
  <c r="G7" i="64"/>
  <c r="F32" i="64"/>
  <c r="F33" i="64" s="1"/>
  <c r="F9" i="64"/>
  <c r="C36" i="65"/>
  <c r="F22" i="69"/>
  <c r="F21" i="69"/>
  <c r="E25" i="64"/>
  <c r="E31" i="64" s="1"/>
  <c r="E34" i="64" s="1"/>
  <c r="E17" i="64"/>
  <c r="E9" i="68"/>
  <c r="E32" i="68"/>
  <c r="E33" i="68" s="1"/>
  <c r="F7" i="68"/>
  <c r="G15" i="67"/>
  <c r="F21" i="65"/>
  <c r="F22" i="65"/>
  <c r="D26" i="69"/>
  <c r="D27" i="69" s="1"/>
  <c r="D18" i="69"/>
  <c r="G22" i="68"/>
  <c r="G21" i="68"/>
  <c r="G12" i="68" s="1"/>
  <c r="B37" i="68"/>
  <c r="B37" i="66"/>
  <c r="D16" i="66"/>
  <c r="D16" i="68"/>
  <c r="B37" i="67"/>
  <c r="D34" i="67"/>
  <c r="D16" i="65"/>
  <c r="F8" i="67"/>
  <c r="E32" i="67"/>
  <c r="E33" i="67" s="1"/>
  <c r="E9" i="67"/>
  <c r="C17" i="5"/>
  <c r="C18" i="5"/>
  <c r="E15" i="5"/>
  <c r="G14" i="5"/>
  <c r="E16" i="61"/>
  <c r="B6" i="6"/>
  <c r="B12" i="19" l="1"/>
  <c r="C28" i="30"/>
  <c r="B9" i="25"/>
  <c r="B14" i="25" s="1"/>
  <c r="N9" i="25" s="1"/>
  <c r="C22" i="13"/>
  <c r="D17" i="5"/>
  <c r="D6" i="6" s="1"/>
  <c r="D18" i="5"/>
  <c r="D20" i="5" s="1"/>
  <c r="D8" i="6" s="1"/>
  <c r="D36" i="11"/>
  <c r="C11" i="13"/>
  <c r="D10" i="13" s="1"/>
  <c r="D18" i="13" s="1"/>
  <c r="C10" i="19"/>
  <c r="D10" i="19" s="1"/>
  <c r="E10" i="19" s="1"/>
  <c r="F10" i="19" s="1"/>
  <c r="G10" i="19" s="1"/>
  <c r="B10" i="25"/>
  <c r="G21" i="67"/>
  <c r="G12" i="67" s="1"/>
  <c r="G22" i="67"/>
  <c r="B16" i="7"/>
  <c r="B19" i="7" s="1"/>
  <c r="E12" i="59"/>
  <c r="F10" i="59"/>
  <c r="G25" i="30"/>
  <c r="F35" i="30"/>
  <c r="P11" i="62"/>
  <c r="F21" i="62" s="1"/>
  <c r="P11" i="61"/>
  <c r="C17" i="61" s="1"/>
  <c r="P11" i="60"/>
  <c r="E17" i="60" s="1"/>
  <c r="J3" i="60"/>
  <c r="F16" i="60"/>
  <c r="F11" i="42"/>
  <c r="F10" i="42"/>
  <c r="E24" i="42"/>
  <c r="G9" i="42"/>
  <c r="G14" i="23"/>
  <c r="G17" i="23" s="1"/>
  <c r="B24" i="32"/>
  <c r="D21" i="32" s="1"/>
  <c r="D29" i="30"/>
  <c r="D28" i="30"/>
  <c r="D39" i="30"/>
  <c r="F11" i="30"/>
  <c r="F10" i="11"/>
  <c r="I3" i="62"/>
  <c r="B30" i="11"/>
  <c r="C14" i="30"/>
  <c r="C31" i="30"/>
  <c r="C14" i="7"/>
  <c r="D11" i="7"/>
  <c r="F8" i="39"/>
  <c r="E22" i="39"/>
  <c r="G7" i="39"/>
  <c r="F9" i="39"/>
  <c r="E13" i="7"/>
  <c r="B11" i="25"/>
  <c r="E36" i="11"/>
  <c r="F24" i="11"/>
  <c r="K3" i="60"/>
  <c r="F31" i="7"/>
  <c r="E26" i="30"/>
  <c r="E24" i="30"/>
  <c r="G22" i="66"/>
  <c r="G21" i="66"/>
  <c r="G12" i="66" s="1"/>
  <c r="G21" i="64"/>
  <c r="G12" i="64" s="1"/>
  <c r="G22" i="64"/>
  <c r="E32" i="7"/>
  <c r="E34" i="7" s="1"/>
  <c r="E30" i="7"/>
  <c r="E12" i="38"/>
  <c r="F10" i="38"/>
  <c r="G20" i="62"/>
  <c r="D21" i="13"/>
  <c r="E13" i="13"/>
  <c r="E21" i="13" s="1"/>
  <c r="B7" i="15"/>
  <c r="C23" i="11"/>
  <c r="C25" i="11"/>
  <c r="D12" i="23"/>
  <c r="C15" i="23"/>
  <c r="O3" i="61"/>
  <c r="B17" i="23"/>
  <c r="C16" i="11"/>
  <c r="C39" i="11"/>
  <c r="C12" i="11"/>
  <c r="N12" i="25"/>
  <c r="D11" i="19"/>
  <c r="D35" i="67"/>
  <c r="F32" i="68"/>
  <c r="F33" i="68" s="1"/>
  <c r="G7" i="68"/>
  <c r="F9" i="68"/>
  <c r="C38" i="65"/>
  <c r="G22" i="65"/>
  <c r="G21" i="65"/>
  <c r="G12" i="65" s="1"/>
  <c r="G21" i="69"/>
  <c r="G12" i="69" s="1"/>
  <c r="G22" i="69"/>
  <c r="D17" i="65"/>
  <c r="D26" i="65"/>
  <c r="E16" i="69"/>
  <c r="E16" i="67"/>
  <c r="G8" i="67"/>
  <c r="F32" i="67"/>
  <c r="F33" i="67" s="1"/>
  <c r="F9" i="67"/>
  <c r="D25" i="68"/>
  <c r="D17" i="68"/>
  <c r="D17" i="66"/>
  <c r="D25" i="66"/>
  <c r="D35" i="69"/>
  <c r="E26" i="64"/>
  <c r="E27" i="64" s="1"/>
  <c r="E18" i="64"/>
  <c r="G32" i="64"/>
  <c r="G33" i="64" s="1"/>
  <c r="G9" i="64"/>
  <c r="G32" i="69"/>
  <c r="G33" i="69" s="1"/>
  <c r="G9" i="69"/>
  <c r="F12" i="5"/>
  <c r="F15" i="5"/>
  <c r="E18" i="5"/>
  <c r="E17" i="5"/>
  <c r="F16" i="61"/>
  <c r="C6" i="6"/>
  <c r="C20" i="5"/>
  <c r="C8" i="6" s="1"/>
  <c r="F12" i="61" l="1"/>
  <c r="D17" i="61"/>
  <c r="C12" i="19"/>
  <c r="B16" i="25"/>
  <c r="N11" i="25" s="1"/>
  <c r="B15" i="25"/>
  <c r="N10" i="25" s="1"/>
  <c r="D22" i="13"/>
  <c r="D11" i="13"/>
  <c r="F12" i="59"/>
  <c r="B13" i="59" s="1"/>
  <c r="G10" i="59"/>
  <c r="H10" i="59" s="1"/>
  <c r="I10" i="59" s="1"/>
  <c r="J10" i="59" s="1"/>
  <c r="K10" i="59" s="1"/>
  <c r="L10" i="59" s="1"/>
  <c r="H25" i="30"/>
  <c r="G35" i="30"/>
  <c r="F12" i="60"/>
  <c r="D31" i="30"/>
  <c r="G21" i="62"/>
  <c r="C21" i="62"/>
  <c r="D21" i="62"/>
  <c r="E21" i="62"/>
  <c r="F13" i="62"/>
  <c r="F12" i="62"/>
  <c r="B21" i="62"/>
  <c r="F13" i="61"/>
  <c r="B17" i="61"/>
  <c r="E17" i="61"/>
  <c r="C17" i="60"/>
  <c r="B17" i="60"/>
  <c r="F13" i="60"/>
  <c r="F17" i="60"/>
  <c r="D17" i="60"/>
  <c r="G16" i="60"/>
  <c r="D17" i="7"/>
  <c r="C16" i="7"/>
  <c r="J3" i="62"/>
  <c r="D14" i="7"/>
  <c r="E11" i="7"/>
  <c r="C40" i="11"/>
  <c r="C28" i="11"/>
  <c r="C27" i="11"/>
  <c r="F12" i="38"/>
  <c r="B13" i="38" s="1"/>
  <c r="G10" i="38"/>
  <c r="H10" i="38" s="1"/>
  <c r="I10" i="38" s="1"/>
  <c r="J10" i="38" s="1"/>
  <c r="K10" i="38" s="1"/>
  <c r="L10" i="38" s="1"/>
  <c r="L3" i="60"/>
  <c r="C35" i="11"/>
  <c r="C15" i="11"/>
  <c r="C11" i="11"/>
  <c r="G24" i="11"/>
  <c r="F36" i="11"/>
  <c r="F13" i="7"/>
  <c r="G11" i="42"/>
  <c r="F24" i="42"/>
  <c r="H9" i="42"/>
  <c r="G10" i="42"/>
  <c r="G11" i="30"/>
  <c r="C7" i="15"/>
  <c r="D23" i="11"/>
  <c r="D25" i="11"/>
  <c r="F24" i="30"/>
  <c r="F26" i="30"/>
  <c r="B20" i="23"/>
  <c r="C17" i="23"/>
  <c r="C20" i="23" s="1"/>
  <c r="D18" i="23"/>
  <c r="F30" i="7"/>
  <c r="F32" i="7"/>
  <c r="F34" i="7" s="1"/>
  <c r="E28" i="30"/>
  <c r="E39" i="30"/>
  <c r="E29" i="30"/>
  <c r="G10" i="11"/>
  <c r="P3" i="61"/>
  <c r="E12" i="23"/>
  <c r="D15" i="23"/>
  <c r="G31" i="7"/>
  <c r="F22" i="39"/>
  <c r="H7" i="39"/>
  <c r="G9" i="39"/>
  <c r="G8" i="39"/>
  <c r="C17" i="30"/>
  <c r="C40" i="30"/>
  <c r="C13" i="30"/>
  <c r="D12" i="19"/>
  <c r="E11" i="19"/>
  <c r="D26" i="66"/>
  <c r="D18" i="66"/>
  <c r="E25" i="67"/>
  <c r="E17" i="67"/>
  <c r="E25" i="69"/>
  <c r="E17" i="69"/>
  <c r="L9" i="64"/>
  <c r="D31" i="66"/>
  <c r="D34" i="66" s="1"/>
  <c r="D27" i="66"/>
  <c r="D44" i="66"/>
  <c r="D27" i="65"/>
  <c r="D28" i="65" s="1"/>
  <c r="D18" i="65"/>
  <c r="G9" i="68"/>
  <c r="G32" i="68"/>
  <c r="G33" i="68" s="1"/>
  <c r="L9" i="69"/>
  <c r="F16" i="64"/>
  <c r="D37" i="69"/>
  <c r="D26" i="68"/>
  <c r="D27" i="68" s="1"/>
  <c r="D18" i="68"/>
  <c r="G9" i="67"/>
  <c r="L9" i="67" s="1"/>
  <c r="G32" i="67"/>
  <c r="G33" i="67" s="1"/>
  <c r="E35" i="64"/>
  <c r="D31" i="68"/>
  <c r="D34" i="68" s="1"/>
  <c r="D32" i="65"/>
  <c r="D35" i="65" s="1"/>
  <c r="D37" i="67"/>
  <c r="F18" i="5"/>
  <c r="F17" i="5"/>
  <c r="E6" i="6"/>
  <c r="E20" i="5"/>
  <c r="E8" i="6" s="1"/>
  <c r="F17" i="61"/>
  <c r="G16" i="61"/>
  <c r="G12" i="5"/>
  <c r="G15" i="5"/>
  <c r="E10" i="13" l="1"/>
  <c r="E18" i="13" s="1"/>
  <c r="H35" i="30"/>
  <c r="I25" i="30"/>
  <c r="G17" i="60"/>
  <c r="G30" i="7"/>
  <c r="G32" i="7"/>
  <c r="G34" i="7" s="1"/>
  <c r="H11" i="30"/>
  <c r="D28" i="11"/>
  <c r="D40" i="11"/>
  <c r="D27" i="11"/>
  <c r="C30" i="11"/>
  <c r="C36" i="30"/>
  <c r="C16" i="30"/>
  <c r="C12" i="30"/>
  <c r="H31" i="7"/>
  <c r="H10" i="11"/>
  <c r="D7" i="15"/>
  <c r="E23" i="11"/>
  <c r="E25" i="11"/>
  <c r="G13" i="7"/>
  <c r="G16" i="7" s="1"/>
  <c r="C18" i="11"/>
  <c r="E14" i="7"/>
  <c r="F11" i="7"/>
  <c r="E18" i="23"/>
  <c r="D17" i="23"/>
  <c r="E17" i="7"/>
  <c r="D16" i="7"/>
  <c r="D19" i="7" s="1"/>
  <c r="F12" i="23"/>
  <c r="E15" i="23"/>
  <c r="H11" i="42"/>
  <c r="H10" i="42"/>
  <c r="G24" i="42"/>
  <c r="G26" i="30"/>
  <c r="G24" i="30"/>
  <c r="C6" i="15"/>
  <c r="D13" i="11"/>
  <c r="H24" i="11"/>
  <c r="G36" i="11"/>
  <c r="M3" i="60"/>
  <c r="K3" i="62"/>
  <c r="E31" i="30"/>
  <c r="G22" i="39"/>
  <c r="H9" i="39"/>
  <c r="H8" i="39"/>
  <c r="F39" i="30"/>
  <c r="F29" i="30"/>
  <c r="F28" i="30"/>
  <c r="C19" i="7"/>
  <c r="E12" i="19"/>
  <c r="F11" i="19"/>
  <c r="E16" i="65"/>
  <c r="E31" i="69"/>
  <c r="E34" i="69" s="1"/>
  <c r="E37" i="64"/>
  <c r="E16" i="66"/>
  <c r="D36" i="65"/>
  <c r="E26" i="67"/>
  <c r="E27" i="67" s="1"/>
  <c r="E18" i="67"/>
  <c r="D35" i="68"/>
  <c r="D35" i="66"/>
  <c r="E26" i="69"/>
  <c r="E27" i="69" s="1"/>
  <c r="E18" i="69"/>
  <c r="L9" i="68"/>
  <c r="E16" i="68"/>
  <c r="F17" i="64"/>
  <c r="F25" i="64"/>
  <c r="E31" i="67"/>
  <c r="E34" i="67" s="1"/>
  <c r="E44" i="67"/>
  <c r="F6" i="6"/>
  <c r="F20" i="5"/>
  <c r="F8" i="6" s="1"/>
  <c r="G18" i="5"/>
  <c r="G17" i="5"/>
  <c r="G17" i="61"/>
  <c r="E11" i="13" l="1"/>
  <c r="E12" i="13" s="1"/>
  <c r="E20" i="13" s="1"/>
  <c r="E22" i="13" s="1"/>
  <c r="H26" i="13"/>
  <c r="J26" i="13"/>
  <c r="E26" i="13"/>
  <c r="I26" i="13"/>
  <c r="F26" i="13"/>
  <c r="D26" i="13"/>
  <c r="B26" i="13"/>
  <c r="C26" i="13"/>
  <c r="G26" i="13"/>
  <c r="I35" i="30"/>
  <c r="J25" i="30"/>
  <c r="F14" i="7"/>
  <c r="G11" i="7"/>
  <c r="C19" i="30"/>
  <c r="F17" i="7"/>
  <c r="E16" i="7"/>
  <c r="L3" i="62"/>
  <c r="H24" i="30"/>
  <c r="H26" i="30"/>
  <c r="F18" i="23"/>
  <c r="E17" i="23"/>
  <c r="E20" i="23" s="1"/>
  <c r="I10" i="11"/>
  <c r="I11" i="30"/>
  <c r="E19" i="7"/>
  <c r="D39" i="11"/>
  <c r="D16" i="11"/>
  <c r="D12" i="11"/>
  <c r="D20" i="23"/>
  <c r="F31" i="30"/>
  <c r="N3" i="60"/>
  <c r="G29" i="30"/>
  <c r="G39" i="30"/>
  <c r="G28" i="30"/>
  <c r="G12" i="23"/>
  <c r="F15" i="23"/>
  <c r="E28" i="11"/>
  <c r="E40" i="11"/>
  <c r="E27" i="11"/>
  <c r="H36" i="11"/>
  <c r="I24" i="11"/>
  <c r="F25" i="11"/>
  <c r="F23" i="11"/>
  <c r="E7" i="15"/>
  <c r="I31" i="7"/>
  <c r="H32" i="7"/>
  <c r="H34" i="7" s="1"/>
  <c r="H30" i="7"/>
  <c r="D14" i="30"/>
  <c r="D30" i="11"/>
  <c r="F12" i="19"/>
  <c r="G11" i="19"/>
  <c r="E35" i="67"/>
  <c r="F26" i="64"/>
  <c r="F18" i="64"/>
  <c r="D38" i="65"/>
  <c r="F16" i="67"/>
  <c r="E35" i="69"/>
  <c r="F16" i="69"/>
  <c r="F31" i="64"/>
  <c r="F34" i="64" s="1"/>
  <c r="F27" i="64"/>
  <c r="E25" i="66"/>
  <c r="E17" i="66"/>
  <c r="D37" i="66"/>
  <c r="E25" i="68"/>
  <c r="E17" i="68"/>
  <c r="D37" i="68"/>
  <c r="E26" i="65"/>
  <c r="E17" i="65"/>
  <c r="G6" i="6"/>
  <c r="H6" i="6" s="1"/>
  <c r="H12" i="6" s="1"/>
  <c r="G20" i="5"/>
  <c r="G8" i="6" s="1"/>
  <c r="H8" i="6" s="1"/>
  <c r="J35" i="30" l="1"/>
  <c r="K25" i="30"/>
  <c r="E30" i="11"/>
  <c r="I24" i="30"/>
  <c r="I26" i="30"/>
  <c r="J24" i="11"/>
  <c r="I36" i="11"/>
  <c r="M3" i="62"/>
  <c r="F40" i="11"/>
  <c r="F28" i="11"/>
  <c r="F27" i="11"/>
  <c r="F30" i="11" s="1"/>
  <c r="O3" i="60"/>
  <c r="J31" i="7"/>
  <c r="G18" i="23"/>
  <c r="G20" i="23" s="1"/>
  <c r="F17" i="23"/>
  <c r="D17" i="30"/>
  <c r="D40" i="30"/>
  <c r="D13" i="30"/>
  <c r="G31" i="30"/>
  <c r="J10" i="11"/>
  <c r="G17" i="7"/>
  <c r="G19" i="7" s="1"/>
  <c r="F16" i="7"/>
  <c r="F19" i="7" s="1"/>
  <c r="H28" i="30"/>
  <c r="H29" i="30"/>
  <c r="H39" i="30"/>
  <c r="I32" i="7"/>
  <c r="I34" i="7" s="1"/>
  <c r="I30" i="7"/>
  <c r="G25" i="11"/>
  <c r="F7" i="15"/>
  <c r="G23" i="11"/>
  <c r="D15" i="11"/>
  <c r="D35" i="11"/>
  <c r="D11" i="11"/>
  <c r="J11" i="30"/>
  <c r="G12" i="19"/>
  <c r="B13" i="19" s="1"/>
  <c r="E31" i="68"/>
  <c r="E34" i="68" s="1"/>
  <c r="F25" i="67"/>
  <c r="F17" i="67"/>
  <c r="G16" i="64"/>
  <c r="E31" i="66"/>
  <c r="E34" i="66" s="1"/>
  <c r="E44" i="66"/>
  <c r="F25" i="69"/>
  <c r="F17" i="69"/>
  <c r="E26" i="66"/>
  <c r="E27" i="66" s="1"/>
  <c r="E18" i="66"/>
  <c r="E27" i="65"/>
  <c r="E28" i="65" s="1"/>
  <c r="E18" i="65"/>
  <c r="F35" i="64"/>
  <c r="E32" i="65"/>
  <c r="E35" i="65" s="1"/>
  <c r="E26" i="68"/>
  <c r="E27" i="68" s="1"/>
  <c r="E18" i="68"/>
  <c r="E37" i="69"/>
  <c r="E37" i="67"/>
  <c r="K35" i="30" l="1"/>
  <c r="L25" i="30"/>
  <c r="G7" i="15"/>
  <c r="H25" i="11"/>
  <c r="H23" i="11"/>
  <c r="J30" i="7"/>
  <c r="J32" i="7"/>
  <c r="J34" i="7" s="1"/>
  <c r="K11" i="30"/>
  <c r="G28" i="11"/>
  <c r="G40" i="11"/>
  <c r="G27" i="11"/>
  <c r="K31" i="7"/>
  <c r="H31" i="30"/>
  <c r="D36" i="30"/>
  <c r="D16" i="30"/>
  <c r="D12" i="30"/>
  <c r="P3" i="60"/>
  <c r="K24" i="11"/>
  <c r="J36" i="11"/>
  <c r="E13" i="11"/>
  <c r="D6" i="15"/>
  <c r="H19" i="7"/>
  <c r="B21" i="7"/>
  <c r="H16" i="7"/>
  <c r="N3" i="62"/>
  <c r="J24" i="30"/>
  <c r="J26" i="30"/>
  <c r="K10" i="11"/>
  <c r="D18" i="11"/>
  <c r="F20" i="23"/>
  <c r="H17" i="23"/>
  <c r="I39" i="30"/>
  <c r="I29" i="30"/>
  <c r="I28" i="30"/>
  <c r="E35" i="66"/>
  <c r="E35" i="68"/>
  <c r="F16" i="65"/>
  <c r="F31" i="69"/>
  <c r="F34" i="69" s="1"/>
  <c r="G25" i="64"/>
  <c r="G31" i="64" s="1"/>
  <c r="G34" i="64" s="1"/>
  <c r="G17" i="64"/>
  <c r="E36" i="65"/>
  <c r="F26" i="69"/>
  <c r="F27" i="69" s="1"/>
  <c r="F18" i="69"/>
  <c r="F31" i="67"/>
  <c r="F34" i="67" s="1"/>
  <c r="F44" i="67"/>
  <c r="F16" i="68"/>
  <c r="F37" i="64"/>
  <c r="F16" i="66"/>
  <c r="F26" i="67"/>
  <c r="F27" i="67" s="1"/>
  <c r="F18" i="67"/>
  <c r="L35" i="30" l="1"/>
  <c r="M25" i="30"/>
  <c r="I31" i="30"/>
  <c r="E14" i="30"/>
  <c r="D19" i="30"/>
  <c r="E16" i="11"/>
  <c r="E39" i="11"/>
  <c r="E12" i="11"/>
  <c r="O3" i="62"/>
  <c r="L11" i="30"/>
  <c r="T10" i="23"/>
  <c r="M10" i="23"/>
  <c r="H20" i="23"/>
  <c r="R10" i="23"/>
  <c r="Q10" i="23"/>
  <c r="S10" i="23"/>
  <c r="O10" i="23"/>
  <c r="P10" i="23"/>
  <c r="N10" i="23"/>
  <c r="L10" i="11"/>
  <c r="K32" i="7"/>
  <c r="K34" i="7" s="1"/>
  <c r="B39" i="7" s="1"/>
  <c r="K30" i="7"/>
  <c r="H7" i="15"/>
  <c r="I25" i="11"/>
  <c r="I23" i="11"/>
  <c r="G30" i="11"/>
  <c r="H40" i="11"/>
  <c r="H28" i="11"/>
  <c r="H27" i="11"/>
  <c r="J29" i="30"/>
  <c r="J39" i="30"/>
  <c r="J28" i="30"/>
  <c r="K26" i="30"/>
  <c r="K24" i="30"/>
  <c r="L24" i="11"/>
  <c r="K36" i="11"/>
  <c r="F35" i="67"/>
  <c r="F35" i="69"/>
  <c r="G26" i="64"/>
  <c r="G18" i="64"/>
  <c r="G11" i="64" s="1"/>
  <c r="E37" i="68"/>
  <c r="F25" i="68"/>
  <c r="F17" i="68"/>
  <c r="F26" i="65"/>
  <c r="F17" i="65"/>
  <c r="F25" i="66"/>
  <c r="F17" i="66"/>
  <c r="G16" i="67"/>
  <c r="G16" i="69"/>
  <c r="E38" i="65"/>
  <c r="E37" i="66"/>
  <c r="N25" i="30" l="1"/>
  <c r="M35" i="30"/>
  <c r="J25" i="11"/>
  <c r="J23" i="11"/>
  <c r="I7" i="15"/>
  <c r="E17" i="30"/>
  <c r="E40" i="30"/>
  <c r="E13" i="30"/>
  <c r="K29" i="30"/>
  <c r="K39" i="30"/>
  <c r="K28" i="30"/>
  <c r="P3" i="62"/>
  <c r="L24" i="30"/>
  <c r="L26" i="30"/>
  <c r="I40" i="11"/>
  <c r="I28" i="11"/>
  <c r="I27" i="11"/>
  <c r="M11" i="30"/>
  <c r="H30" i="11"/>
  <c r="L36" i="11"/>
  <c r="M24" i="11"/>
  <c r="M36" i="11" s="1"/>
  <c r="M10" i="11"/>
  <c r="G27" i="64"/>
  <c r="G35" i="64" s="1"/>
  <c r="J31" i="30"/>
  <c r="E35" i="11"/>
  <c r="E15" i="11"/>
  <c r="E11" i="11"/>
  <c r="F26" i="68"/>
  <c r="F27" i="68" s="1"/>
  <c r="F18" i="68"/>
  <c r="F37" i="69"/>
  <c r="G25" i="69"/>
  <c r="G31" i="69" s="1"/>
  <c r="G34" i="69" s="1"/>
  <c r="G17" i="69"/>
  <c r="F32" i="65"/>
  <c r="F35" i="65" s="1"/>
  <c r="F31" i="68"/>
  <c r="F34" i="68" s="1"/>
  <c r="F26" i="66"/>
  <c r="F27" i="66" s="1"/>
  <c r="F18" i="66"/>
  <c r="F31" i="66"/>
  <c r="F34" i="66" s="1"/>
  <c r="F44" i="66"/>
  <c r="G25" i="67"/>
  <c r="G17" i="67"/>
  <c r="F27" i="65"/>
  <c r="F28" i="65" s="1"/>
  <c r="F18" i="65"/>
  <c r="F37" i="67"/>
  <c r="I30" i="11" l="1"/>
  <c r="O25" i="30"/>
  <c r="N35" i="30"/>
  <c r="F13" i="11"/>
  <c r="E6" i="15"/>
  <c r="E16" i="30"/>
  <c r="E36" i="30"/>
  <c r="E12" i="30"/>
  <c r="E18" i="11"/>
  <c r="M24" i="30"/>
  <c r="M26" i="30"/>
  <c r="L39" i="30"/>
  <c r="L29" i="30"/>
  <c r="L28" i="30"/>
  <c r="L27" i="64"/>
  <c r="J28" i="11"/>
  <c r="J40" i="11"/>
  <c r="J27" i="11"/>
  <c r="N11" i="30"/>
  <c r="K31" i="30"/>
  <c r="K23" i="11"/>
  <c r="K25" i="11"/>
  <c r="J7" i="15"/>
  <c r="G31" i="67"/>
  <c r="G34" i="67" s="1"/>
  <c r="G44" i="67"/>
  <c r="G37" i="64"/>
  <c r="L37" i="64" s="1"/>
  <c r="L35" i="64"/>
  <c r="F36" i="65"/>
  <c r="G16" i="68"/>
  <c r="G26" i="67"/>
  <c r="G18" i="67"/>
  <c r="G11" i="67" s="1"/>
  <c r="G27" i="67" s="1"/>
  <c r="G16" i="65"/>
  <c r="G16" i="66"/>
  <c r="F35" i="66"/>
  <c r="F35" i="68"/>
  <c r="G26" i="69"/>
  <c r="G18" i="69"/>
  <c r="G11" i="69" s="1"/>
  <c r="O35" i="30" l="1"/>
  <c r="P25" i="30"/>
  <c r="E19" i="30"/>
  <c r="M39" i="30"/>
  <c r="M29" i="30"/>
  <c r="M28" i="30"/>
  <c r="F16" i="11"/>
  <c r="F39" i="11"/>
  <c r="F12" i="11"/>
  <c r="K28" i="11"/>
  <c r="K40" i="11"/>
  <c r="K27" i="11"/>
  <c r="O11" i="30"/>
  <c r="L31" i="30"/>
  <c r="N26" i="30"/>
  <c r="N24" i="30"/>
  <c r="G27" i="69"/>
  <c r="G35" i="69" s="1"/>
  <c r="L23" i="11"/>
  <c r="L7" i="15" s="1"/>
  <c r="K7" i="15"/>
  <c r="L25" i="11"/>
  <c r="J30" i="11"/>
  <c r="F14" i="30"/>
  <c r="G35" i="67"/>
  <c r="L27" i="67"/>
  <c r="F37" i="68"/>
  <c r="G25" i="66"/>
  <c r="G17" i="66"/>
  <c r="L27" i="69"/>
  <c r="F37" i="66"/>
  <c r="G26" i="65"/>
  <c r="G32" i="65" s="1"/>
  <c r="G35" i="65" s="1"/>
  <c r="G17" i="65"/>
  <c r="G25" i="68"/>
  <c r="G17" i="68"/>
  <c r="F38" i="65"/>
  <c r="P35" i="30" l="1"/>
  <c r="Q25" i="30"/>
  <c r="O24" i="30"/>
  <c r="O26" i="30"/>
  <c r="L40" i="11"/>
  <c r="L28" i="11"/>
  <c r="M28" i="11" s="1"/>
  <c r="M25" i="11"/>
  <c r="M40" i="11" s="1"/>
  <c r="L27" i="11"/>
  <c r="N29" i="30"/>
  <c r="N39" i="30"/>
  <c r="N28" i="30"/>
  <c r="N31" i="30" s="1"/>
  <c r="F40" i="30"/>
  <c r="F17" i="30"/>
  <c r="F13" i="30"/>
  <c r="P11" i="30"/>
  <c r="K30" i="11"/>
  <c r="M31" i="30"/>
  <c r="F15" i="11"/>
  <c r="F35" i="11"/>
  <c r="F11" i="11"/>
  <c r="G27" i="65"/>
  <c r="G18" i="65"/>
  <c r="G11" i="65" s="1"/>
  <c r="G37" i="69"/>
  <c r="L37" i="69" s="1"/>
  <c r="L35" i="69"/>
  <c r="G26" i="68"/>
  <c r="G18" i="68"/>
  <c r="G11" i="68" s="1"/>
  <c r="G26" i="66"/>
  <c r="G18" i="66"/>
  <c r="G11" i="66" s="1"/>
  <c r="G31" i="68"/>
  <c r="G34" i="68" s="1"/>
  <c r="G31" i="66"/>
  <c r="G34" i="66" s="1"/>
  <c r="G44" i="66"/>
  <c r="G37" i="67"/>
  <c r="L37" i="67" s="1"/>
  <c r="L35" i="67"/>
  <c r="G27" i="66" l="1"/>
  <c r="Q35" i="30"/>
  <c r="R25" i="30"/>
  <c r="Q11" i="30"/>
  <c r="L30" i="11"/>
  <c r="N27" i="11"/>
  <c r="M27" i="11"/>
  <c r="G28" i="65"/>
  <c r="G36" i="65" s="1"/>
  <c r="F16" i="30"/>
  <c r="F36" i="30"/>
  <c r="F12" i="30"/>
  <c r="P26" i="30"/>
  <c r="P24" i="30"/>
  <c r="F18" i="11"/>
  <c r="F6" i="15"/>
  <c r="G13" i="11"/>
  <c r="O39" i="30"/>
  <c r="O29" i="30"/>
  <c r="O28" i="30"/>
  <c r="G35" i="66"/>
  <c r="L27" i="66"/>
  <c r="G27" i="68"/>
  <c r="O31" i="30" l="1"/>
  <c r="S25" i="30"/>
  <c r="R35" i="30"/>
  <c r="G14" i="30"/>
  <c r="G39" i="11"/>
  <c r="G16" i="11"/>
  <c r="G12" i="11"/>
  <c r="N30" i="11"/>
  <c r="M30" i="11"/>
  <c r="Q24" i="30"/>
  <c r="Q26" i="30"/>
  <c r="P39" i="30"/>
  <c r="P29" i="30"/>
  <c r="P28" i="30"/>
  <c r="F19" i="30"/>
  <c r="L28" i="65"/>
  <c r="R11" i="30"/>
  <c r="G38" i="65"/>
  <c r="L38" i="65" s="1"/>
  <c r="L36" i="65"/>
  <c r="G35" i="68"/>
  <c r="L27" i="68"/>
  <c r="G37" i="66"/>
  <c r="L37" i="66" s="1"/>
  <c r="L35" i="66"/>
  <c r="P31" i="30" l="1"/>
  <c r="S35" i="30"/>
  <c r="T25" i="30"/>
  <c r="G15" i="11"/>
  <c r="G35" i="11"/>
  <c r="G11" i="11"/>
  <c r="R26" i="30"/>
  <c r="R24" i="30"/>
  <c r="Q29" i="30"/>
  <c r="Q39" i="30"/>
  <c r="Q28" i="30"/>
  <c r="S11" i="30"/>
  <c r="G40" i="30"/>
  <c r="G17" i="30"/>
  <c r="G13" i="30"/>
  <c r="G37" i="68"/>
  <c r="L35" i="68"/>
  <c r="T35" i="30" l="1"/>
  <c r="U25" i="30"/>
  <c r="S24" i="30"/>
  <c r="S26" i="30"/>
  <c r="H13" i="11"/>
  <c r="G6" i="15"/>
  <c r="R39" i="30"/>
  <c r="R29" i="30"/>
  <c r="R28" i="30"/>
  <c r="G16" i="30"/>
  <c r="G36" i="30"/>
  <c r="G12" i="30"/>
  <c r="T11" i="30"/>
  <c r="Q31" i="30"/>
  <c r="G18" i="11"/>
  <c r="G55" i="68"/>
  <c r="D55" i="68"/>
  <c r="F55" i="68"/>
  <c r="B55" i="68"/>
  <c r="L37" i="68"/>
  <c r="C55" i="68"/>
  <c r="E55" i="68"/>
  <c r="R31" i="30" l="1"/>
  <c r="V25" i="30"/>
  <c r="U35" i="30"/>
  <c r="H39" i="11"/>
  <c r="H16" i="11"/>
  <c r="H12" i="11"/>
  <c r="G19" i="30"/>
  <c r="S39" i="30"/>
  <c r="S29" i="30"/>
  <c r="S28" i="30"/>
  <c r="H14" i="30"/>
  <c r="T26" i="30"/>
  <c r="T24" i="30"/>
  <c r="U11" i="30"/>
  <c r="S31" i="30" l="1"/>
  <c r="V35" i="30"/>
  <c r="W25" i="30"/>
  <c r="U26" i="30"/>
  <c r="U24" i="30"/>
  <c r="H40" i="30"/>
  <c r="H17" i="30"/>
  <c r="H13" i="30"/>
  <c r="H15" i="11"/>
  <c r="H18" i="11" s="1"/>
  <c r="H35" i="11"/>
  <c r="H11" i="11"/>
  <c r="T39" i="30"/>
  <c r="T29" i="30"/>
  <c r="T28" i="30"/>
  <c r="V11" i="30"/>
  <c r="T31" i="30" l="1"/>
  <c r="X25" i="30"/>
  <c r="W35" i="30"/>
  <c r="V24" i="30"/>
  <c r="V26" i="30"/>
  <c r="U29" i="30"/>
  <c r="U39" i="30"/>
  <c r="U28" i="30"/>
  <c r="W11" i="30"/>
  <c r="H36" i="30"/>
  <c r="H16" i="30"/>
  <c r="H19" i="30" s="1"/>
  <c r="H12" i="30"/>
  <c r="I13" i="11"/>
  <c r="H6" i="15"/>
  <c r="U31" i="30" l="1"/>
  <c r="X35" i="30"/>
  <c r="Y25" i="30"/>
  <c r="W24" i="30"/>
  <c r="W26" i="30"/>
  <c r="I14" i="30"/>
  <c r="V39" i="30"/>
  <c r="V29" i="30"/>
  <c r="V28" i="30"/>
  <c r="I39" i="11"/>
  <c r="I16" i="11"/>
  <c r="I12" i="11"/>
  <c r="X11" i="30"/>
  <c r="Z25" i="30" l="1"/>
  <c r="Y35" i="30"/>
  <c r="I40" i="30"/>
  <c r="I17" i="30"/>
  <c r="I13" i="30"/>
  <c r="Y11" i="30"/>
  <c r="X24" i="30"/>
  <c r="X26" i="30"/>
  <c r="W39" i="30"/>
  <c r="W29" i="30"/>
  <c r="W28" i="30"/>
  <c r="I15" i="11"/>
  <c r="I18" i="11" s="1"/>
  <c r="I35" i="11"/>
  <c r="I11" i="11"/>
  <c r="V31" i="30"/>
  <c r="W31" i="30" l="1"/>
  <c r="AA25" i="30"/>
  <c r="Z35" i="30"/>
  <c r="I6" i="15"/>
  <c r="J13" i="11"/>
  <c r="X29" i="30"/>
  <c r="X39" i="30"/>
  <c r="X28" i="30"/>
  <c r="Y26" i="30"/>
  <c r="Y24" i="30"/>
  <c r="I16" i="30"/>
  <c r="I19" i="30" s="1"/>
  <c r="I36" i="30"/>
  <c r="I12" i="30"/>
  <c r="Z11" i="30"/>
  <c r="AB25" i="30" l="1"/>
  <c r="AA35" i="30"/>
  <c r="X31" i="30"/>
  <c r="AA11" i="30"/>
  <c r="Y29" i="30"/>
  <c r="Y39" i="30"/>
  <c r="Y28" i="30"/>
  <c r="J14" i="30"/>
  <c r="J39" i="11"/>
  <c r="J16" i="11"/>
  <c r="J12" i="11"/>
  <c r="Z24" i="30"/>
  <c r="Z26" i="30"/>
  <c r="AB35" i="30" l="1"/>
  <c r="AC25" i="30"/>
  <c r="Y31" i="30"/>
  <c r="J40" i="30"/>
  <c r="J17" i="30"/>
  <c r="J13" i="30"/>
  <c r="AB11" i="30"/>
  <c r="Z39" i="30"/>
  <c r="Z29" i="30"/>
  <c r="Z28" i="30"/>
  <c r="J35" i="11"/>
  <c r="J15" i="11"/>
  <c r="J18" i="11" s="1"/>
  <c r="J11" i="11"/>
  <c r="AA24" i="30"/>
  <c r="AA26" i="30"/>
  <c r="Z31" i="30" l="1"/>
  <c r="AC35" i="30"/>
  <c r="AD25" i="30"/>
  <c r="J16" i="30"/>
  <c r="J19" i="30" s="1"/>
  <c r="J36" i="30"/>
  <c r="J12" i="30"/>
  <c r="AA39" i="30"/>
  <c r="AA29" i="30"/>
  <c r="AA28" i="30"/>
  <c r="AB24" i="30"/>
  <c r="AB26" i="30"/>
  <c r="AC11" i="30"/>
  <c r="K13" i="11"/>
  <c r="J6" i="15"/>
  <c r="AA31" i="30" l="1"/>
  <c r="AD35" i="30"/>
  <c r="AE25" i="30"/>
  <c r="K39" i="11"/>
  <c r="K16" i="11"/>
  <c r="K12" i="11"/>
  <c r="AB39" i="30"/>
  <c r="AB29" i="30"/>
  <c r="AB28" i="30"/>
  <c r="AD11" i="30"/>
  <c r="AC26" i="30"/>
  <c r="AC24" i="30"/>
  <c r="K14" i="30"/>
  <c r="AF25" i="30" l="1"/>
  <c r="AF35" i="30" s="1"/>
  <c r="AE35" i="30"/>
  <c r="AC39" i="30"/>
  <c r="AC29" i="30"/>
  <c r="AC28" i="30"/>
  <c r="K15" i="11"/>
  <c r="K18" i="11" s="1"/>
  <c r="K35" i="11"/>
  <c r="K11" i="11"/>
  <c r="AD26" i="30"/>
  <c r="AD24" i="30"/>
  <c r="AE11" i="30"/>
  <c r="K40" i="30"/>
  <c r="K17" i="30"/>
  <c r="K13" i="30"/>
  <c r="AB31" i="30"/>
  <c r="AC31" i="30" l="1"/>
  <c r="AG25" i="30"/>
  <c r="AG35" i="30" s="1"/>
  <c r="L13" i="11"/>
  <c r="K6" i="15"/>
  <c r="AF11" i="30"/>
  <c r="K16" i="30"/>
  <c r="K19" i="30" s="1"/>
  <c r="K36" i="30"/>
  <c r="K12" i="30"/>
  <c r="AE26" i="30"/>
  <c r="AE24" i="30"/>
  <c r="AD29" i="30"/>
  <c r="AD39" i="30"/>
  <c r="AD28" i="30"/>
  <c r="AD31" i="30" l="1"/>
  <c r="L39" i="11"/>
  <c r="L16" i="11"/>
  <c r="M16" i="11" s="1"/>
  <c r="L12" i="11"/>
  <c r="M13" i="11"/>
  <c r="M39" i="11" s="1"/>
  <c r="AG11" i="30"/>
  <c r="AF24" i="30"/>
  <c r="AF26" i="30"/>
  <c r="AE29" i="30"/>
  <c r="AE39" i="30"/>
  <c r="AE28" i="30"/>
  <c r="L14" i="30"/>
  <c r="L35" i="11" l="1"/>
  <c r="L15" i="11"/>
  <c r="M12" i="11"/>
  <c r="M35" i="11" s="1"/>
  <c r="L11" i="11"/>
  <c r="L6" i="15" s="1"/>
  <c r="AF39" i="30"/>
  <c r="AF29" i="30"/>
  <c r="AG29" i="30" s="1"/>
  <c r="AG26" i="30"/>
  <c r="AG39" i="30" s="1"/>
  <c r="AF28" i="30"/>
  <c r="L17" i="30"/>
  <c r="L40" i="30"/>
  <c r="L13" i="30"/>
  <c r="AE31" i="30"/>
  <c r="L18" i="11" l="1"/>
  <c r="M15" i="11"/>
  <c r="N15" i="11"/>
  <c r="AF31" i="30"/>
  <c r="H45" i="30"/>
  <c r="C45" i="30"/>
  <c r="B45" i="30"/>
  <c r="AH28" i="30"/>
  <c r="G45" i="30"/>
  <c r="F45" i="30"/>
  <c r="D45" i="30"/>
  <c r="AG28" i="30"/>
  <c r="E45" i="30"/>
  <c r="L16" i="30"/>
  <c r="L19" i="30" s="1"/>
  <c r="L36" i="30"/>
  <c r="L12" i="30"/>
  <c r="M14" i="30" l="1"/>
  <c r="AH31" i="30"/>
  <c r="AG31" i="30"/>
  <c r="N18" i="11"/>
  <c r="M18" i="11"/>
  <c r="M17" i="30" l="1"/>
  <c r="M40" i="30"/>
  <c r="M13" i="30"/>
  <c r="M16" i="30" l="1"/>
  <c r="M19" i="30" s="1"/>
  <c r="M36" i="30"/>
  <c r="M12" i="30"/>
  <c r="N14" i="30" l="1"/>
  <c r="N17" i="30" l="1"/>
  <c r="N40" i="30"/>
  <c r="N13" i="30"/>
  <c r="N16" i="30" l="1"/>
  <c r="N19" i="30" s="1"/>
  <c r="N36" i="30"/>
  <c r="N12" i="30"/>
  <c r="O14" i="30" l="1"/>
  <c r="O17" i="30" l="1"/>
  <c r="O40" i="30"/>
  <c r="O13" i="30"/>
  <c r="O16" i="30" l="1"/>
  <c r="O19" i="30" s="1"/>
  <c r="O36" i="30"/>
  <c r="O12" i="30"/>
  <c r="P14" i="30" l="1"/>
  <c r="P17" i="30" l="1"/>
  <c r="P40" i="30"/>
  <c r="P13" i="30"/>
  <c r="P36" i="30" l="1"/>
  <c r="P16" i="30"/>
  <c r="P19" i="30" s="1"/>
  <c r="P12" i="30"/>
  <c r="Q14" i="30" l="1"/>
  <c r="Q17" i="30" l="1"/>
  <c r="Q40" i="30"/>
  <c r="Q13" i="30"/>
  <c r="Q16" i="30" l="1"/>
  <c r="Q19" i="30" s="1"/>
  <c r="Q36" i="30"/>
  <c r="Q12" i="30"/>
  <c r="R14" i="30" l="1"/>
  <c r="R40" i="30" l="1"/>
  <c r="R17" i="30"/>
  <c r="R13" i="30"/>
  <c r="R36" i="30" l="1"/>
  <c r="R16" i="30"/>
  <c r="R19" i="30" s="1"/>
  <c r="R12" i="30"/>
  <c r="S14" i="30" l="1"/>
  <c r="S40" i="30" l="1"/>
  <c r="S17" i="30"/>
  <c r="S13" i="30"/>
  <c r="S36" i="30" l="1"/>
  <c r="S16" i="30"/>
  <c r="S19" i="30" s="1"/>
  <c r="S12" i="30"/>
  <c r="T14" i="30" l="1"/>
  <c r="T17" i="30" l="1"/>
  <c r="T40" i="30"/>
  <c r="T13" i="30"/>
  <c r="T36" i="30" l="1"/>
  <c r="T16" i="30"/>
  <c r="T19" i="30" s="1"/>
  <c r="T12" i="30"/>
  <c r="U14" i="30" l="1"/>
  <c r="U17" i="30" l="1"/>
  <c r="U40" i="30"/>
  <c r="U13" i="30"/>
  <c r="U16" i="30" l="1"/>
  <c r="U19" i="30" s="1"/>
  <c r="U36" i="30"/>
  <c r="U12" i="30"/>
  <c r="V14" i="30" l="1"/>
  <c r="V40" i="30" l="1"/>
  <c r="V17" i="30"/>
  <c r="V13" i="30"/>
  <c r="V36" i="30" l="1"/>
  <c r="V16" i="30"/>
  <c r="V19" i="30" s="1"/>
  <c r="V12" i="30"/>
  <c r="W14" i="30" l="1"/>
  <c r="W17" i="30" l="1"/>
  <c r="W40" i="30"/>
  <c r="W13" i="30"/>
  <c r="W16" i="30" l="1"/>
  <c r="W19" i="30" s="1"/>
  <c r="W36" i="30"/>
  <c r="W12" i="30"/>
  <c r="X14" i="30" l="1"/>
  <c r="X40" i="30" l="1"/>
  <c r="X17" i="30"/>
  <c r="X13" i="30"/>
  <c r="X16" i="30" l="1"/>
  <c r="X19" i="30" s="1"/>
  <c r="X36" i="30"/>
  <c r="X12" i="30"/>
  <c r="Y14" i="30" l="1"/>
  <c r="Y17" i="30" l="1"/>
  <c r="Y40" i="30"/>
  <c r="Y13" i="30"/>
  <c r="Y16" i="30" l="1"/>
  <c r="Y19" i="30" s="1"/>
  <c r="Y36" i="30"/>
  <c r="Y12" i="30"/>
  <c r="Z14" i="30" l="1"/>
  <c r="Z17" i="30" l="1"/>
  <c r="Z40" i="30"/>
  <c r="Z13" i="30"/>
  <c r="Z16" i="30" l="1"/>
  <c r="Z19" i="30" s="1"/>
  <c r="Z36" i="30"/>
  <c r="Z12" i="30"/>
  <c r="AA14" i="30" l="1"/>
  <c r="AA40" i="30" l="1"/>
  <c r="AA17" i="30"/>
  <c r="AA13" i="30"/>
  <c r="AA16" i="30" l="1"/>
  <c r="AA19" i="30" s="1"/>
  <c r="AA36" i="30"/>
  <c r="AA12" i="30"/>
  <c r="AB14" i="30" l="1"/>
  <c r="AB17" i="30" l="1"/>
  <c r="AB40" i="30"/>
  <c r="AB13" i="30"/>
  <c r="AB36" i="30" l="1"/>
  <c r="AB16" i="30"/>
  <c r="AB19" i="30" s="1"/>
  <c r="AB12" i="30"/>
  <c r="AC14" i="30" l="1"/>
  <c r="AC17" i="30" l="1"/>
  <c r="AC40" i="30"/>
  <c r="AC13" i="30"/>
  <c r="AC16" i="30" l="1"/>
  <c r="AC19" i="30" s="1"/>
  <c r="AC36" i="30"/>
  <c r="AC12" i="30"/>
  <c r="AD14" i="30" l="1"/>
  <c r="AD40" i="30" l="1"/>
  <c r="AD17" i="30"/>
  <c r="AD13" i="30"/>
  <c r="AD36" i="30" l="1"/>
  <c r="AD16" i="30"/>
  <c r="AD19" i="30" s="1"/>
  <c r="AD12" i="30"/>
  <c r="AE14" i="30" l="1"/>
  <c r="AE17" i="30" l="1"/>
  <c r="AE40" i="30"/>
  <c r="AE13" i="30"/>
  <c r="AE36" i="30" l="1"/>
  <c r="AE16" i="30"/>
  <c r="AE19" i="30" s="1"/>
  <c r="AE12" i="30"/>
  <c r="AF14" i="30" l="1"/>
  <c r="AF17" i="30" l="1"/>
  <c r="AG17" i="30" s="1"/>
  <c r="AF40" i="30"/>
  <c r="AG14" i="30"/>
  <c r="AG40" i="30" s="1"/>
  <c r="AF13" i="30"/>
  <c r="AF36" i="30" l="1"/>
  <c r="AF16" i="30"/>
  <c r="AG13" i="30"/>
  <c r="AG36" i="30" s="1"/>
  <c r="AF12" i="30"/>
  <c r="AF19" i="30" l="1"/>
  <c r="D46" i="30"/>
  <c r="D47" i="30" s="1"/>
  <c r="G46" i="30"/>
  <c r="G47" i="30" s="1"/>
  <c r="H46" i="30"/>
  <c r="H47" i="30" s="1"/>
  <c r="E46" i="30"/>
  <c r="E47" i="30" s="1"/>
  <c r="AG16" i="30"/>
  <c r="B46" i="30"/>
  <c r="B47" i="30" s="1"/>
  <c r="F46" i="30"/>
  <c r="F47" i="30" s="1"/>
  <c r="C46" i="30"/>
  <c r="C47" i="30" s="1"/>
  <c r="AH16" i="30"/>
  <c r="AG19" i="30" l="1"/>
  <c r="AH19" i="3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Eier</author>
    <author>PIG</author>
  </authors>
  <commentList>
    <comment ref="A1" authorId="0" shapeId="0" xr:uid="{00000000-0006-0000-0000-000001000000}">
      <text>
        <r>
          <rPr>
            <sz val="11"/>
            <color indexed="81"/>
            <rFont val="Times New Roman"/>
            <family val="1"/>
          </rPr>
          <t xml:space="preserve">Må skrives på nytt
</t>
        </r>
      </text>
    </comment>
    <comment ref="C3" authorId="0" shapeId="0" xr:uid="{00000000-0006-0000-0000-000002000000}">
      <text>
        <r>
          <rPr>
            <sz val="11"/>
            <color indexed="81"/>
            <rFont val="Times New Roman"/>
            <family val="1"/>
          </rPr>
          <t>Denne verdien er beregnet ut fra startåret. Dermed oppdateres årstallene automatisk når du endrer startåret.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" authorId="1" shapeId="0" xr:uid="{F43317E0-36CF-429F-9375-AD52E80F5ED5}">
      <text>
        <r>
          <rPr>
            <sz val="11"/>
            <color indexed="81"/>
            <rFont val="Times New Roman"/>
            <family val="1"/>
          </rPr>
          <t>Beløpene kommer fra tabelle 2.11.</t>
        </r>
      </text>
    </comment>
    <comment ref="C7" authorId="2" shapeId="0" xr:uid="{00000000-0006-0000-0000-000003000000}">
      <text>
        <r>
          <rPr>
            <sz val="9"/>
            <color indexed="81"/>
            <rFont val="Tahoma"/>
            <family val="2"/>
          </rPr>
          <t xml:space="preserve">Tallet her angir intervallene i nåverdiprofilen
</t>
        </r>
      </text>
    </comment>
    <comment ref="B22" authorId="0" shapeId="0" xr:uid="{00000000-0006-0000-0000-000004000000}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900-000001000000}">
      <text>
        <r>
          <rPr>
            <sz val="11"/>
            <color indexed="81"/>
            <rFont val="Times New Roman"/>
            <family val="1"/>
          </rPr>
          <t>Med dette regnearket kan du beregne lønnsomheten av utvidelsen i AS Alu. 
I celle B15 velges intervall i figuren med nåverdiprofil. Tallene bak nåverdiprofil og hjelpelinje for horisontal akse (for å unngå null i origo) ligger under figuren.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A00-000001000000}">
      <text>
        <r>
          <rPr>
            <sz val="8"/>
            <color indexed="81"/>
            <rFont val="Tahoma"/>
            <family val="2"/>
          </rPr>
          <t xml:space="preserve">Her beregnes låntakers kontanstrøm før og etter skatt på et lån med faste avdrag (serielån), etterskuddsrente
 og etableringsgebyr. Modellen brukes i tabell 5.12. Fet font angir inngangsverdi, dvs. data du må legge inn. Vanlig font betyr utgangsverdi, dvs. beregnede tall. 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B00-000001000000}">
      <text>
        <r>
          <rPr>
            <sz val="8"/>
            <color indexed="81"/>
            <rFont val="Tahoma"/>
            <family val="2"/>
          </rPr>
          <t xml:space="preserve">Her beregnes effektiv lånerente før og etter skatt på et lån med faste avdrag (serielån), etterskuddsrente og etableringsgebyr. Kontantstrømmene er fra tabell 5.12, og modellen brukes i tabell 5.13. Fet font angir inngangsverdi, dvs. data du må legge inn. Vanlig font betyr utgangsverdi, dvs. beregnede tall. 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C00-000001000000}">
      <text>
        <r>
          <rPr>
            <sz val="8"/>
            <color indexed="81"/>
            <rFont val="Tahoma"/>
            <family val="2"/>
          </rPr>
          <t>Her beregnes låntakers kontanstrøm før og etter skatt på et lån med faste avdrag (serielån), etterskuddsrente
 og etableringsgebyr. Modellen brukes i tabell 5.14. Klikk på + tegnet i rad 41 hvis du vil se beregningen av nåverdi for dette lånet oppgitt i eksempel 5.11. Fet font angir inngangsverdi, dvs. data du må legge inn. Vanlig font betyr utgangsverdi, dvs. beregnede tall.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D00-000001000000}">
      <text>
        <r>
          <rPr>
            <sz val="8"/>
            <color indexed="81"/>
            <rFont val="Tahoma"/>
            <family val="2"/>
          </rPr>
          <t xml:space="preserve">Her beregnes kontanstrømsfordel og nåverdien av denne ved Lånekassens rentefrihet i studietiden kontra å låne til markedsrente. Modellen brukes i tabell 5.15. Fet font angir inngangsverdi, dvs. data du må legge inn. Vanlig font betyr utgangsverdi, dvs. beregnede tall. 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E00-000001000000}">
      <text>
        <r>
          <rPr>
            <sz val="8"/>
            <color indexed="81"/>
            <rFont val="Tahoma"/>
            <family val="2"/>
          </rPr>
          <t xml:space="preserve">Her beregnes renter og avdrag for serielån og annuitetslån for samme lånebeløp, rente, og avdragstid. Modellens linjer 34-40 brukes i tabell 5.16. Fet font angir inngangsverdi, dvs. data du må legge inn. Vanlig font betyr utgangsverdi, dvs. beregnede tall. 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F00-000001000000}">
      <text>
        <r>
          <rPr>
            <sz val="8"/>
            <color indexed="81"/>
            <rFont val="Tahoma"/>
            <family val="2"/>
          </rPr>
          <t xml:space="preserve">Denne modellen beregner emisjonsbeløp, renter, avdrag og effektiv rente for en obligasjon under fire alternative forutsetninger om lånets kupongrente. Modellen brukes i tabell 5.17. Fet font angir inngangsverdi, dvs. data du må legge inn. Vanlig font betyr utgangsverdi, dvs. beregnede tall. 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000-000001000000}">
      <text>
        <r>
          <rPr>
            <sz val="8"/>
            <color indexed="81"/>
            <rFont val="Tahoma"/>
            <family val="2"/>
          </rPr>
          <t xml:space="preserve">Denne modellen beregner årlig dividende i ti år når prosentvis dividendevekst endrer seg én gang over tid (fase 1 og 2). Modellen beregner også nåverdien av dividenden i første fase. Beregningene er gjengitt i tabell 5.18. Fet font angir inngangsverdi, dvs. data du må legge inn. Vanlig font betyr utgangsverdi, dvs. beregnede tall. 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PIG</author>
  </authors>
  <commentList>
    <comment ref="A1" authorId="0" shapeId="0" xr:uid="{00000000-0006-0000-1200-000001000000}">
      <text>
        <r>
          <rPr>
            <sz val="11"/>
            <color indexed="81"/>
            <rFont val="Times New Roman"/>
            <family val="1"/>
          </rPr>
          <t xml:space="preserve">Må skrives på nytt
</t>
        </r>
      </text>
    </comment>
    <comment ref="C4" authorId="0" shapeId="0" xr:uid="{00000000-0006-0000-1200-000002000000}">
      <text>
        <r>
          <rPr>
            <sz val="11"/>
            <color indexed="81"/>
            <rFont val="Times New Roman"/>
            <family val="1"/>
          </rPr>
          <t>Denne verdien er beregnet ut fra startåret. Dermed oppdateres årstallene automatisk når du endrer startåret.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" authorId="1" shapeId="0" xr:uid="{00000000-0006-0000-1200-000003000000}">
      <text>
        <r>
          <rPr>
            <sz val="9"/>
            <color indexed="81"/>
            <rFont val="Tahoma"/>
            <family val="2"/>
          </rPr>
          <t xml:space="preserve">Tallet her angir intervallene i nåverdiprofilen
</t>
        </r>
      </text>
    </comment>
    <comment ref="B24" authorId="0" shapeId="0" xr:uid="{00000000-0006-0000-1200-000004000000}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300-000001000000}">
      <text>
        <r>
          <rPr>
            <sz val="8"/>
            <color indexed="81"/>
            <rFont val="Tahoma"/>
            <family val="2"/>
          </rPr>
          <t xml:space="preserve">Her tegnes nåverdiprofilen for lånetilbudet fra B-Bank i tabell 5.14. Fet font angir inngangsverdi, dvs. data du må legge inn. Vanlig font betyr utgangsverdi, dvs. beregnede tall.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100-000001000000}">
      <text>
        <r>
          <rPr>
            <sz val="11"/>
            <color indexed="81"/>
            <rFont val="Times New Roman"/>
            <family val="1"/>
          </rPr>
          <t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B3" authorId="0" shapeId="0" xr:uid="{00000000-0006-0000-01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1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1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1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1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1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1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1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1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1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1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1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1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1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1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1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1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1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1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1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1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1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1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1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49" authorId="0" shapeId="0" xr:uid="{00000000-0006-0000-01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400-000001000000}">
      <text>
        <r>
          <rPr>
            <sz val="8"/>
            <color indexed="81"/>
            <rFont val="Tahoma"/>
            <family val="2"/>
          </rPr>
          <t xml:space="preserve">Her tegnes subsidieelementene for Åsnes studielån i figur 5.5. Fet font angir inngangsverdi, dvs. data du må legge inn. Vanlig font betyr utgangsverdi, dvs. beregnede tall. 
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500-000001000000}">
      <text>
        <r>
          <rPr>
            <sz val="8"/>
            <color indexed="81"/>
            <rFont val="Tahoma"/>
            <family val="2"/>
          </rPr>
          <t xml:space="preserve">Her tegnes tidsprofilen for lånet fra Boligbankeni tabell 5.16, forutsatt at det er henholdsvis annuitetslån og serielån tabell 5.14. Modellen brukes i figur 5.6. Fet font angir inngangsverdi, dvs. data du må legge inn. Vanlig font betyr utgangsverdi, dvs. beregnede tall. 
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600-000001000000}">
      <text>
        <r>
          <rPr>
            <sz val="8"/>
            <color indexed="81"/>
            <rFont val="Tahoma"/>
            <family val="2"/>
          </rPr>
          <t xml:space="preserve">Her beregnes nåverdiprofil for serielån og annuitetslån med samme lånebeløp, rente, og avdragstid. Modellens brukes i figur 5.7. Fet font angir inngangsverdi, dvs. data du må legge inn. Vanlig font betyr utgangsverdi, dvs. beregnede tall. 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700-000001000000}">
      <text>
        <r>
          <rPr>
            <sz val="8"/>
            <color indexed="81"/>
            <rFont val="Tahoma"/>
            <family val="2"/>
          </rPr>
          <t xml:space="preserve">Her brukes dividendemodellen fra uttrykk (5.9) til å beregne aksjekurs ved oppgitt startdividende og kapitalkostnad når dividendeveksten varierer mellom 0 og 8 %. Beregningene er vist grafisk og gjengitt i figur 5.9. Fet font angir inngangsverdi, dvs. data du må legge inn. Vanlig font betyr utgangsverdi, dvs. beregnede tall. 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800-000001000000}">
      <text>
        <r>
          <rPr>
            <sz val="8"/>
            <color indexed="81"/>
            <rFont val="Tahoma"/>
            <family val="2"/>
          </rPr>
          <t xml:space="preserve">Denne modellen beregner årlig dividende i ti år når prosentvis dividendevekst endrer seg én gang over tid (fase 1 og 2). Modellen beregner også nåverdien av dividenden i første fase. Beregningene er gjengitt grafisk i figur 5.10. Fet font angir inngangsverdi, dvs. data du må legge inn. Vanlig font betyr utgangsverdi, dvs. beregnede tall.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2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2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2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2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2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2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2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2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2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2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2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2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2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2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2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2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2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2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2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2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2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2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1" authorId="1" shapeId="0" xr:uid="{00000000-0006-0000-02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2" authorId="1" shapeId="0" xr:uid="{00000000-0006-0000-02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3" authorId="1" shapeId="0" xr:uid="{00000000-0006-0000-02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5" authorId="1" shapeId="0" xr:uid="{00000000-0006-0000-02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8" authorId="0" shapeId="0" xr:uid="{00000000-0006-0000-02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50" authorId="0" shapeId="0" xr:uid="{00000000-0006-0000-02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3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3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3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3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3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3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3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3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3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3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3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3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3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3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3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3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3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3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3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3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3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3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3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3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3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3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3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4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4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4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4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4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4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4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4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4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4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4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4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4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4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4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4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4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4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4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4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4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4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4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4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4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4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4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49" authorId="0" shapeId="0" xr:uid="{00000000-0006-0000-04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500-000001000000}">
      <text>
        <r>
          <rPr>
            <sz val="9"/>
            <color indexed="81"/>
            <rFont val="Tahoma"/>
            <family val="2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5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5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5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5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5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5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5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5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5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5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5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5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5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5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5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5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5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5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5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5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5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5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5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5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5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5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49" authorId="0" shapeId="0" xr:uid="{00000000-0006-0000-05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6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6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6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6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6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6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6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6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6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6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6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6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6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6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6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6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6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6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6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6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6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6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6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6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6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6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6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Eier</author>
  </authors>
  <commentList>
    <comment ref="A1" authorId="0" shapeId="0" xr:uid="{00000000-0006-0000-0700-000001000000}">
      <text>
        <r>
          <rPr>
            <sz val="11"/>
            <color indexed="81"/>
            <rFont val="Times New Roman"/>
            <family val="1"/>
          </rPr>
          <t>Dette regnearket brukes til å grovvurdere lønnsomheten for investerimnge i eksempel 5.6
Fet font angir inngangsverdi, dvs. data du må legge inn. Vanlig font betyr utgangsverdi, dvs. beregnede tall.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0" authorId="0" shapeId="0" xr:uid="{00000000-0006-0000-0700-000002000000}">
      <text>
        <r>
          <rPr>
            <sz val="9"/>
            <color indexed="81"/>
            <rFont val="Tahoma"/>
            <family val="2"/>
          </rPr>
          <t xml:space="preserve">Hentet fra ekesmpel 2.8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800-000001000000}">
      <text>
        <r>
          <rPr>
            <sz val="11"/>
            <color indexed="81"/>
            <rFont val="Times New Roman"/>
            <family val="1"/>
          </rPr>
          <t xml:space="preserve">Med dette regnearket kan du beregne lønnsomheten av utvidelsen i AS Alu. 
I celle B15 velges intervall i figuren med nåverdiprofil. </t>
        </r>
      </text>
    </comment>
  </commentList>
</comments>
</file>

<file path=xl/sharedStrings.xml><?xml version="1.0" encoding="utf-8"?>
<sst xmlns="http://schemas.openxmlformats.org/spreadsheetml/2006/main" count="793" uniqueCount="174">
  <si>
    <t xml:space="preserve"> </t>
  </si>
  <si>
    <t>Kontantstrøm</t>
  </si>
  <si>
    <t>rente</t>
  </si>
  <si>
    <t>Lånebeløp</t>
  </si>
  <si>
    <t>Etableringsgebyr</t>
  </si>
  <si>
    <t>Skattesats</t>
  </si>
  <si>
    <t>Rentesats</t>
  </si>
  <si>
    <t>Låneopptak</t>
  </si>
  <si>
    <t>Restlån</t>
  </si>
  <si>
    <t>Avdrag</t>
  </si>
  <si>
    <t>Renter</t>
  </si>
  <si>
    <t>før skatt</t>
  </si>
  <si>
    <t>Spart skatt</t>
  </si>
  <si>
    <t>etter skatt</t>
  </si>
  <si>
    <t>Avdragstid</t>
  </si>
  <si>
    <t>Effektiv</t>
  </si>
  <si>
    <t>Annuitet</t>
  </si>
  <si>
    <t>Kapitalkostnad</t>
  </si>
  <si>
    <t>Sum</t>
  </si>
  <si>
    <t>a) Annuitet</t>
  </si>
  <si>
    <t>Serielån</t>
  </si>
  <si>
    <t>Kapitalkostnad,%</t>
  </si>
  <si>
    <t>Annuitetslån</t>
  </si>
  <si>
    <t>Annuitet-Serie</t>
  </si>
  <si>
    <t>Investering</t>
  </si>
  <si>
    <t>Saldosats</t>
  </si>
  <si>
    <t>Levetid</t>
  </si>
  <si>
    <t>Avskrivning</t>
  </si>
  <si>
    <t>Bokført verdi</t>
  </si>
  <si>
    <t>Leie</t>
  </si>
  <si>
    <t>Tapt skattefordel .</t>
  </si>
  <si>
    <t>fra avskrivning</t>
  </si>
  <si>
    <t>Leie-Kjøp</t>
  </si>
  <si>
    <t>NV(L-K)</t>
  </si>
  <si>
    <t>IRR</t>
  </si>
  <si>
    <t>Restverdi</t>
  </si>
  <si>
    <t>Tapt restverdi</t>
  </si>
  <si>
    <t>Leie etter skatt</t>
  </si>
  <si>
    <t>Spart investering</t>
  </si>
  <si>
    <t>Prosjektdata</t>
  </si>
  <si>
    <t>Differansekontantstrøm</t>
  </si>
  <si>
    <t>NV</t>
  </si>
  <si>
    <t>Kvartalsrente</t>
  </si>
  <si>
    <t>Renter e. skatt</t>
  </si>
  <si>
    <t>Kap kost per år</t>
  </si>
  <si>
    <t>Kvartalsvis</t>
  </si>
  <si>
    <t>Lik renten på A lånet</t>
  </si>
  <si>
    <t>Lånesaldo, Lånekassen</t>
  </si>
  <si>
    <t>Lånesaldo, markedsbetingelser</t>
  </si>
  <si>
    <t>Saldo, Lånekassefordel</t>
  </si>
  <si>
    <t>Rente i studietiden</t>
  </si>
  <si>
    <t>Markedsrente</t>
  </si>
  <si>
    <t>Årlig låneopptak (tusen kr)</t>
  </si>
  <si>
    <t>År</t>
  </si>
  <si>
    <t>Renter og avdrag</t>
  </si>
  <si>
    <t>Effektiv rente</t>
  </si>
  <si>
    <t>r</t>
  </si>
  <si>
    <t>Aksjekurs</t>
  </si>
  <si>
    <t>Nåverdi, Lånekassefordel</t>
  </si>
  <si>
    <t>Resultat</t>
  </si>
  <si>
    <t>Tilbakeholdsandel</t>
  </si>
  <si>
    <t>Dividende</t>
  </si>
  <si>
    <t>Vekst</t>
  </si>
  <si>
    <t>Kurs</t>
  </si>
  <si>
    <t>Internrente tilbakeholdt</t>
  </si>
  <si>
    <t>Reserver (oljeekvivalenter)</t>
  </si>
  <si>
    <t>Andre ledd:</t>
  </si>
  <si>
    <t>D4</t>
  </si>
  <si>
    <t>NV t=3</t>
  </si>
  <si>
    <t>NV t=0</t>
  </si>
  <si>
    <t>Første ledds hakeparentes:</t>
  </si>
  <si>
    <t>Komponent 1</t>
  </si>
  <si>
    <t>Komponent 2</t>
  </si>
  <si>
    <t>Diff</t>
  </si>
  <si>
    <t>Første ledd:</t>
  </si>
  <si>
    <t>Hakepar. mult. med D1</t>
  </si>
  <si>
    <t>P0</t>
  </si>
  <si>
    <t>Kjennetegn, Snake Oil</t>
  </si>
  <si>
    <t>…</t>
  </si>
  <si>
    <t>Kupong-rente</t>
  </si>
  <si>
    <t>Emisjons-beløp</t>
  </si>
  <si>
    <t>Gjeld</t>
  </si>
  <si>
    <t>Selskapet</t>
  </si>
  <si>
    <t>Egenkapitalen</t>
  </si>
  <si>
    <t>Egenkapital</t>
  </si>
  <si>
    <t>Metode</t>
  </si>
  <si>
    <t>Type verdi</t>
  </si>
  <si>
    <t>Totalkapital</t>
  </si>
  <si>
    <t>Gjennomsnittlig multippel</t>
  </si>
  <si>
    <t>Estimert verdi (mill. kr.)</t>
  </si>
  <si>
    <t>Type kjennetegn</t>
  </si>
  <si>
    <t>Diskonteringsfaktor</t>
  </si>
  <si>
    <t>Nåverdi</t>
  </si>
  <si>
    <t>Nåverdi, fase 1</t>
  </si>
  <si>
    <t>Resultat (mill. kr.)</t>
  </si>
  <si>
    <t>Driftsresultat (mill. kr.)</t>
  </si>
  <si>
    <t>Salgsinntekt  (mill. kr.)</t>
  </si>
  <si>
    <t>Prosjekt</t>
  </si>
  <si>
    <t>Beta</t>
  </si>
  <si>
    <t>Alfa</t>
  </si>
  <si>
    <t>Internrente</t>
  </si>
  <si>
    <t>Analysenavn</t>
  </si>
  <si>
    <t>Les dette</t>
  </si>
  <si>
    <t>Kvartalslån fra C-Bank: Beregning for eksempel 5.11</t>
  </si>
  <si>
    <t>NPV, C-Bank lån</t>
  </si>
  <si>
    <t>b) Serie</t>
  </si>
  <si>
    <t>Påydende</t>
  </si>
  <si>
    <t>Startdividende (kr)</t>
  </si>
  <si>
    <t>Dividendevekst</t>
  </si>
  <si>
    <t>T</t>
  </si>
  <si>
    <t>For nettsidens supplerende læretekst</t>
  </si>
  <si>
    <t>Tabell uten beregninger</t>
  </si>
  <si>
    <t>Elektrisitet</t>
  </si>
  <si>
    <t>Volum</t>
  </si>
  <si>
    <t>Pris</t>
  </si>
  <si>
    <t>Aluminium</t>
  </si>
  <si>
    <t>tonn</t>
  </si>
  <si>
    <t>kr/tonn</t>
  </si>
  <si>
    <t>mill. kr</t>
  </si>
  <si>
    <t>Alumina</t>
  </si>
  <si>
    <t>"</t>
  </si>
  <si>
    <t>kWh</t>
  </si>
  <si>
    <t>kr/kWh</t>
  </si>
  <si>
    <t>Dekningsbidrag</t>
  </si>
  <si>
    <t>Arbeidskraft</t>
  </si>
  <si>
    <t>årsverk</t>
  </si>
  <si>
    <t>kr/årsverk</t>
  </si>
  <si>
    <t>Anleggskapital/restverdi</t>
  </si>
  <si>
    <t>Arbeidskapital</t>
  </si>
  <si>
    <t>Kapitalkostnad/Nåverdi</t>
  </si>
  <si>
    <t>Intervall nåverdiprofil</t>
  </si>
  <si>
    <t>Hjelpelinje</t>
  </si>
  <si>
    <t>Annet</t>
  </si>
  <si>
    <t>Forsikring</t>
  </si>
  <si>
    <t>Vedlikehold</t>
  </si>
  <si>
    <t>Fellesutgifter</t>
  </si>
  <si>
    <t>Driftsbudsjett</t>
  </si>
  <si>
    <t>Del 2.3 og 4.4</t>
  </si>
  <si>
    <t>Kontantstrøm ved leie</t>
  </si>
  <si>
    <t>Tabell 2.10</t>
  </si>
  <si>
    <t>Til egenkapitalen etter skatt</t>
  </si>
  <si>
    <t>Skatt</t>
  </si>
  <si>
    <t>Skatt driftsresultat</t>
  </si>
  <si>
    <t>Skattbart driftsresultat</t>
  </si>
  <si>
    <t>Spart skatt renter</t>
  </si>
  <si>
    <t>Skatt på salgsgevinst</t>
  </si>
  <si>
    <t>Salgsgevinst</t>
  </si>
  <si>
    <t>SKATT:</t>
  </si>
  <si>
    <t>Tabell 2.7</t>
  </si>
  <si>
    <t>Til egenkapitalen før skatt</t>
  </si>
  <si>
    <t>Samlede avdrag</t>
  </si>
  <si>
    <t>Samlede renter</t>
  </si>
  <si>
    <t>Avdragsfritt lån</t>
  </si>
  <si>
    <t xml:space="preserve">Restlån </t>
  </si>
  <si>
    <t>Tabell 2.6</t>
  </si>
  <si>
    <t>Annuitetsbeløp</t>
  </si>
  <si>
    <t>Tabell 3.3</t>
  </si>
  <si>
    <t>FINANSIERING:</t>
  </si>
  <si>
    <t>Tabell 2.5</t>
  </si>
  <si>
    <t>Til totalkapitalen før skatt</t>
  </si>
  <si>
    <t>Driftsutbetalinger</t>
  </si>
  <si>
    <t>Innbetalt husleie</t>
  </si>
  <si>
    <t>Transaksjonsutbetalinger</t>
  </si>
  <si>
    <t>Kjøps- og salgsbeløp</t>
  </si>
  <si>
    <t>KJØP, SALG, UTLEIE OG DRIFT</t>
  </si>
  <si>
    <t>Referanse</t>
  </si>
  <si>
    <t>Forutsetninger</t>
  </si>
  <si>
    <t>Kontantstrøm ved kjøp</t>
  </si>
  <si>
    <t>Null rente i studietiden</t>
  </si>
  <si>
    <t>Omgjøringslån i studietiden</t>
  </si>
  <si>
    <t>Lav rente etter studietiden</t>
  </si>
  <si>
    <r>
      <t>D</t>
    </r>
    <r>
      <rPr>
        <vertAlign val="subscript"/>
        <sz val="11"/>
        <rFont val="Times New Roman"/>
        <family val="1"/>
      </rPr>
      <t>1</t>
    </r>
  </si>
  <si>
    <r>
      <t>v</t>
    </r>
    <r>
      <rPr>
        <vertAlign val="subscript"/>
        <sz val="11"/>
        <rFont val="Times New Roman"/>
        <family val="1"/>
      </rPr>
      <t>A</t>
    </r>
  </si>
  <si>
    <r>
      <t>v</t>
    </r>
    <r>
      <rPr>
        <vertAlign val="subscript"/>
        <sz val="11"/>
        <rFont val="Times New Roman"/>
        <family val="1"/>
      </rPr>
      <t>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</si>
</sst>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kr&quot;\ #,##0;[Red]&quot;kr&quot;\ \-#,##0"/>
    <numFmt numFmtId="164" formatCode="&quot;kr&quot;\ #,##0.00;[Red]\-&quot;kr&quot;\ #,##0.00"/>
    <numFmt numFmtId="165" formatCode="_(* #,##0.00_);_(* \(#,##0.00\);_(* &quot;-&quot;??_);_(@_)"/>
    <numFmt numFmtId="166" formatCode="0.0\ %"/>
    <numFmt numFmtId="167" formatCode="0.0000"/>
    <numFmt numFmtId="168" formatCode="#,##0_ ;[Red]\-#,##0\ "/>
    <numFmt numFmtId="169" formatCode="_(* #,##0_);_(* \(#,##0\);_(* &quot;-&quot;??_);_(@_)"/>
    <numFmt numFmtId="170" formatCode="0.0%"/>
    <numFmt numFmtId="171" formatCode="0.0000000\ %"/>
    <numFmt numFmtId="172" formatCode="0.000"/>
    <numFmt numFmtId="173" formatCode="#,##0_ ;\-#,##0\ "/>
    <numFmt numFmtId="174" formatCode="0.000\ %"/>
    <numFmt numFmtId="175" formatCode="#,##0.000000"/>
  </numFmts>
  <fonts count="34" x14ac:knownFonts="1">
    <font>
      <sz val="10"/>
      <name val="Arial"/>
    </font>
    <font>
      <sz val="8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color indexed="81"/>
      <name val="Tahoma"/>
      <family val="2"/>
    </font>
    <font>
      <sz val="9"/>
      <color indexed="81"/>
      <name val="Tahoma"/>
      <family val="2"/>
    </font>
    <font>
      <sz val="11"/>
      <color indexed="81"/>
      <name val="Times New Roman"/>
      <family val="1"/>
    </font>
    <font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Arial"/>
      <family val="2"/>
    </font>
    <font>
      <sz val="10"/>
      <color rgb="FFFF0000"/>
      <name val="Times New Roman"/>
      <family val="1"/>
    </font>
    <font>
      <sz val="12"/>
      <color theme="1"/>
      <name val="Times New Roman"/>
      <family val="1"/>
    </font>
    <font>
      <b/>
      <sz val="16"/>
      <color rgb="FFFF0000"/>
      <name val="Times New Roman"/>
      <family val="1"/>
    </font>
    <font>
      <i/>
      <sz val="11"/>
      <name val="Times New Roman"/>
      <family val="1"/>
    </font>
    <font>
      <sz val="11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  <font>
      <b/>
      <i/>
      <sz val="11"/>
      <name val="Times New Roman"/>
      <family val="1"/>
    </font>
    <font>
      <sz val="11"/>
      <color rgb="FF000000"/>
      <name val="Times New Roman"/>
      <family val="1"/>
    </font>
    <font>
      <b/>
      <sz val="11"/>
      <color rgb="FFFFFFFF"/>
      <name val="Arial"/>
      <family val="2"/>
    </font>
    <font>
      <sz val="11"/>
      <color rgb="FF000000"/>
      <name val="Verdana"/>
      <family val="2"/>
    </font>
    <font>
      <sz val="11"/>
      <color indexed="10"/>
      <name val="Times New Roman"/>
      <family val="1"/>
    </font>
    <font>
      <vertAlign val="subscript"/>
      <sz val="11"/>
      <name val="Times New Roman"/>
      <family val="1"/>
    </font>
    <font>
      <sz val="11"/>
      <color rgb="FFFF0000"/>
      <name val="Arial"/>
      <family val="2"/>
    </font>
    <font>
      <b/>
      <sz val="11"/>
      <color indexed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165" fontId="4" fillId="0" borderId="0" applyFont="0" applyFill="0" applyBorder="0" applyAlignment="0" applyProtection="0"/>
    <xf numFmtId="0" fontId="7" fillId="0" borderId="0"/>
    <xf numFmtId="0" fontId="4" fillId="0" borderId="0"/>
    <xf numFmtId="0" fontId="15" fillId="0" borderId="0"/>
    <xf numFmtId="0" fontId="4" fillId="0" borderId="0"/>
    <xf numFmtId="9" fontId="4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/>
    <xf numFmtId="3" fontId="3" fillId="0" borderId="0" xfId="0" applyNumberFormat="1" applyFont="1"/>
    <xf numFmtId="1" fontId="2" fillId="0" borderId="0" xfId="0" applyNumberFormat="1" applyFont="1"/>
    <xf numFmtId="0" fontId="6" fillId="0" borderId="0" xfId="0" applyFont="1"/>
    <xf numFmtId="168" fontId="6" fillId="0" borderId="0" xfId="0" applyNumberFormat="1" applyFont="1"/>
    <xf numFmtId="0" fontId="6" fillId="0" borderId="1" xfId="0" applyFont="1" applyBorder="1" applyAlignment="1">
      <alignment horizontal="right"/>
    </xf>
    <xf numFmtId="9" fontId="6" fillId="0" borderId="0" xfId="0" applyNumberFormat="1" applyFont="1"/>
    <xf numFmtId="9" fontId="6" fillId="0" borderId="3" xfId="0" applyNumberFormat="1" applyFont="1" applyBorder="1"/>
    <xf numFmtId="168" fontId="6" fillId="0" borderId="3" xfId="0" applyNumberFormat="1" applyFont="1" applyBorder="1"/>
    <xf numFmtId="0" fontId="6" fillId="0" borderId="3" xfId="0" applyFont="1" applyBorder="1"/>
    <xf numFmtId="0" fontId="6" fillId="0" borderId="1" xfId="0" applyFont="1" applyBorder="1"/>
    <xf numFmtId="0" fontId="16" fillId="0" borderId="0" xfId="0" applyFont="1"/>
    <xf numFmtId="0" fontId="6" fillId="0" borderId="0" xfId="0" applyFont="1" applyAlignment="1">
      <alignment horizontal="right"/>
    </xf>
    <xf numFmtId="0" fontId="6" fillId="0" borderId="3" xfId="0" applyFont="1" applyBorder="1" applyAlignment="1">
      <alignment horizontal="right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8" fillId="0" borderId="0" xfId="5" applyFont="1"/>
    <xf numFmtId="0" fontId="8" fillId="0" borderId="0" xfId="5" applyFont="1" applyAlignment="1">
      <alignment horizontal="center"/>
    </xf>
    <xf numFmtId="0" fontId="17" fillId="0" borderId="0" xfId="5" applyFont="1"/>
    <xf numFmtId="0" fontId="8" fillId="0" borderId="1" xfId="5" applyFont="1" applyBorder="1"/>
    <xf numFmtId="0" fontId="9" fillId="0" borderId="1" xfId="5" applyFont="1" applyBorder="1"/>
    <xf numFmtId="0" fontId="8" fillId="0" borderId="1" xfId="5" applyFont="1" applyBorder="1" applyAlignment="1">
      <alignment horizontal="right"/>
    </xf>
    <xf numFmtId="0" fontId="9" fillId="0" borderId="0" xfId="5" quotePrefix="1" applyFont="1" applyAlignment="1">
      <alignment horizontal="left"/>
    </xf>
    <xf numFmtId="3" fontId="9" fillId="0" borderId="0" xfId="5" applyNumberFormat="1" applyFont="1"/>
    <xf numFmtId="3" fontId="8" fillId="0" borderId="0" xfId="5" applyNumberFormat="1" applyFont="1"/>
    <xf numFmtId="170" fontId="8" fillId="0" borderId="0" xfId="5" applyNumberFormat="1" applyFont="1"/>
    <xf numFmtId="0" fontId="9" fillId="0" borderId="0" xfId="5" applyFont="1" applyAlignment="1">
      <alignment horizontal="left"/>
    </xf>
    <xf numFmtId="9" fontId="8" fillId="0" borderId="1" xfId="6" applyFont="1" applyBorder="1"/>
    <xf numFmtId="9" fontId="9" fillId="0" borderId="1" xfId="6" applyFont="1" applyBorder="1"/>
    <xf numFmtId="9" fontId="8" fillId="0" borderId="1" xfId="5" applyNumberFormat="1" applyFont="1" applyBorder="1"/>
    <xf numFmtId="0" fontId="8" fillId="0" borderId="0" xfId="5" quotePrefix="1" applyFont="1" applyAlignment="1">
      <alignment horizontal="left"/>
    </xf>
    <xf numFmtId="3" fontId="8" fillId="0" borderId="0" xfId="1" applyNumberFormat="1" applyFont="1"/>
    <xf numFmtId="165" fontId="8" fillId="0" borderId="0" xfId="1" applyFont="1"/>
    <xf numFmtId="169" fontId="8" fillId="0" borderId="0" xfId="1" applyNumberFormat="1" applyFont="1"/>
    <xf numFmtId="166" fontId="8" fillId="0" borderId="0" xfId="5" applyNumberFormat="1" applyFont="1"/>
    <xf numFmtId="9" fontId="9" fillId="0" borderId="0" xfId="5" applyNumberFormat="1" applyFont="1"/>
    <xf numFmtId="9" fontId="8" fillId="0" borderId="0" xfId="5" applyNumberFormat="1" applyFont="1"/>
    <xf numFmtId="3" fontId="8" fillId="0" borderId="0" xfId="0" applyNumberFormat="1" applyFont="1"/>
    <xf numFmtId="0" fontId="2" fillId="0" borderId="0" xfId="0" applyFont="1" applyAlignment="1">
      <alignment horizontal="right"/>
    </xf>
    <xf numFmtId="0" fontId="2" fillId="0" borderId="3" xfId="0" applyFont="1" applyBorder="1"/>
    <xf numFmtId="9" fontId="10" fillId="0" borderId="0" xfId="0" applyNumberFormat="1" applyFont="1"/>
    <xf numFmtId="9" fontId="10" fillId="0" borderId="3" xfId="0" applyNumberFormat="1" applyFont="1" applyBorder="1"/>
    <xf numFmtId="168" fontId="6" fillId="0" borderId="1" xfId="0" applyNumberFormat="1" applyFont="1" applyBorder="1"/>
    <xf numFmtId="9" fontId="9" fillId="0" borderId="0" xfId="0" applyNumberFormat="1" applyFont="1"/>
    <xf numFmtId="3" fontId="8" fillId="0" borderId="3" xfId="0" applyNumberFormat="1" applyFont="1" applyBorder="1"/>
    <xf numFmtId="0" fontId="8" fillId="0" borderId="1" xfId="0" applyFont="1" applyBorder="1" applyAlignment="1">
      <alignment horizontal="right"/>
    </xf>
    <xf numFmtId="9" fontId="8" fillId="0" borderId="0" xfId="0" applyNumberFormat="1" applyFont="1" applyAlignment="1">
      <alignment horizontal="right"/>
    </xf>
    <xf numFmtId="9" fontId="8" fillId="0" borderId="3" xfId="0" applyNumberFormat="1" applyFont="1" applyBorder="1" applyAlignment="1">
      <alignment horizontal="right"/>
    </xf>
    <xf numFmtId="0" fontId="18" fillId="0" borderId="0" xfId="0" applyFont="1"/>
    <xf numFmtId="0" fontId="19" fillId="0" borderId="0" xfId="0" applyFont="1"/>
    <xf numFmtId="1" fontId="20" fillId="0" borderId="0" xfId="0" applyNumberFormat="1" applyFont="1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right"/>
    </xf>
    <xf numFmtId="0" fontId="21" fillId="0" borderId="0" xfId="5" applyFont="1"/>
    <xf numFmtId="0" fontId="8" fillId="0" borderId="0" xfId="3" applyFont="1"/>
    <xf numFmtId="0" fontId="4" fillId="0" borderId="0" xfId="3"/>
    <xf numFmtId="0" fontId="8" fillId="0" borderId="0" xfId="3" applyFont="1" applyAlignment="1">
      <alignment horizontal="right"/>
    </xf>
    <xf numFmtId="0" fontId="9" fillId="0" borderId="0" xfId="3" applyFont="1"/>
    <xf numFmtId="0" fontId="8" fillId="0" borderId="0" xfId="3" applyFont="1" applyAlignment="1">
      <alignment horizontal="left"/>
    </xf>
    <xf numFmtId="3" fontId="9" fillId="0" borderId="0" xfId="3" applyNumberFormat="1" applyFont="1"/>
    <xf numFmtId="3" fontId="8" fillId="0" borderId="0" xfId="3" applyNumberFormat="1" applyFont="1"/>
    <xf numFmtId="171" fontId="4" fillId="0" borderId="0" xfId="3" applyNumberFormat="1"/>
    <xf numFmtId="9" fontId="4" fillId="0" borderId="0" xfId="3" applyNumberFormat="1"/>
    <xf numFmtId="3" fontId="8" fillId="0" borderId="0" xfId="3" quotePrefix="1" applyNumberFormat="1" applyFont="1" applyAlignment="1">
      <alignment horizontal="left"/>
    </xf>
    <xf numFmtId="4" fontId="9" fillId="0" borderId="0" xfId="3" applyNumberFormat="1" applyFont="1"/>
    <xf numFmtId="4" fontId="8" fillId="0" borderId="0" xfId="3" quotePrefix="1" applyNumberFormat="1" applyFont="1" applyAlignment="1">
      <alignment horizontal="left"/>
    </xf>
    <xf numFmtId="1" fontId="8" fillId="0" borderId="0" xfId="3" applyNumberFormat="1" applyFont="1"/>
    <xf numFmtId="2" fontId="4" fillId="0" borderId="0" xfId="3" applyNumberFormat="1"/>
    <xf numFmtId="0" fontId="8" fillId="0" borderId="0" xfId="3" quotePrefix="1" applyFont="1" applyAlignment="1">
      <alignment horizontal="left"/>
    </xf>
    <xf numFmtId="9" fontId="9" fillId="0" borderId="0" xfId="6" applyFont="1" applyAlignment="1">
      <alignment horizontal="right"/>
    </xf>
    <xf numFmtId="166" fontId="8" fillId="0" borderId="0" xfId="3" applyNumberFormat="1" applyFont="1"/>
    <xf numFmtId="166" fontId="5" fillId="0" borderId="0" xfId="3" applyNumberFormat="1" applyFont="1"/>
    <xf numFmtId="9" fontId="9" fillId="0" borderId="0" xfId="3" applyNumberFormat="1" applyFont="1"/>
    <xf numFmtId="9" fontId="8" fillId="0" borderId="0" xfId="3" applyNumberFormat="1" applyFont="1"/>
    <xf numFmtId="9" fontId="8" fillId="0" borderId="0" xfId="3" applyNumberFormat="1" applyFont="1" applyAlignment="1">
      <alignment horizontal="right"/>
    </xf>
    <xf numFmtId="3" fontId="8" fillId="0" borderId="0" xfId="3" applyNumberFormat="1" applyFont="1" applyAlignment="1">
      <alignment horizontal="right"/>
    </xf>
    <xf numFmtId="172" fontId="4" fillId="0" borderId="0" xfId="3" applyNumberFormat="1"/>
    <xf numFmtId="6" fontId="4" fillId="0" borderId="0" xfId="3" applyNumberFormat="1"/>
    <xf numFmtId="166" fontId="8" fillId="0" borderId="0" xfId="0" applyNumberFormat="1" applyFont="1"/>
    <xf numFmtId="3" fontId="9" fillId="0" borderId="0" xfId="0" applyNumberFormat="1" applyFont="1"/>
    <xf numFmtId="166" fontId="9" fillId="0" borderId="0" xfId="0" applyNumberFormat="1" applyFont="1"/>
    <xf numFmtId="9" fontId="8" fillId="0" borderId="0" xfId="0" applyNumberFormat="1" applyFont="1"/>
    <xf numFmtId="1" fontId="8" fillId="0" borderId="0" xfId="1" applyNumberFormat="1" applyFont="1"/>
    <xf numFmtId="0" fontId="8" fillId="0" borderId="0" xfId="0" applyFont="1" applyAlignment="1">
      <alignment horizontal="right"/>
    </xf>
    <xf numFmtId="166" fontId="9" fillId="0" borderId="0" xfId="0" applyNumberFormat="1" applyFont="1" applyAlignment="1">
      <alignment horizontal="right"/>
    </xf>
    <xf numFmtId="0" fontId="22" fillId="0" borderId="0" xfId="0" applyFont="1"/>
    <xf numFmtId="9" fontId="9" fillId="0" borderId="0" xfId="0" applyNumberFormat="1" applyFont="1" applyAlignment="1">
      <alignment horizontal="right"/>
    </xf>
    <xf numFmtId="166" fontId="8" fillId="0" borderId="0" xfId="0" applyNumberFormat="1" applyFont="1" applyAlignment="1">
      <alignment horizontal="right"/>
    </xf>
    <xf numFmtId="3" fontId="9" fillId="0" borderId="0" xfId="1" applyNumberFormat="1" applyFont="1"/>
    <xf numFmtId="16" fontId="8" fillId="0" borderId="0" xfId="0" quotePrefix="1" applyNumberFormat="1" applyFont="1" applyAlignment="1">
      <alignment horizontal="right"/>
    </xf>
    <xf numFmtId="0" fontId="8" fillId="0" borderId="0" xfId="0" applyFont="1" applyAlignment="1">
      <alignment horizontal="center"/>
    </xf>
    <xf numFmtId="173" fontId="8" fillId="0" borderId="0" xfId="0" applyNumberFormat="1" applyFont="1"/>
    <xf numFmtId="0" fontId="23" fillId="0" borderId="0" xfId="3" applyFont="1"/>
    <xf numFmtId="171" fontId="23" fillId="0" borderId="0" xfId="3" applyNumberFormat="1" applyFont="1"/>
    <xf numFmtId="9" fontId="23" fillId="0" borderId="0" xfId="3" applyNumberFormat="1" applyFont="1"/>
    <xf numFmtId="2" fontId="23" fillId="0" borderId="0" xfId="3" applyNumberFormat="1" applyFont="1"/>
    <xf numFmtId="166" fontId="24" fillId="0" borderId="0" xfId="3" applyNumberFormat="1" applyFont="1"/>
    <xf numFmtId="172" fontId="23" fillId="0" borderId="0" xfId="3" applyNumberFormat="1" applyFont="1"/>
    <xf numFmtId="6" fontId="23" fillId="0" borderId="0" xfId="3" applyNumberFormat="1" applyFont="1"/>
    <xf numFmtId="0" fontId="25" fillId="0" borderId="0" xfId="3" applyFont="1"/>
    <xf numFmtId="3" fontId="26" fillId="0" borderId="0" xfId="0" applyNumberFormat="1" applyFont="1"/>
    <xf numFmtId="4" fontId="9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center"/>
    </xf>
    <xf numFmtId="3" fontId="22" fillId="0" borderId="0" xfId="0" applyNumberFormat="1" applyFont="1"/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2" fontId="8" fillId="0" borderId="0" xfId="0" applyNumberFormat="1" applyFont="1" applyAlignment="1">
      <alignment horizontal="right"/>
    </xf>
    <xf numFmtId="2" fontId="8" fillId="0" borderId="1" xfId="0" applyNumberFormat="1" applyFont="1" applyBorder="1" applyAlignment="1">
      <alignment horizontal="right"/>
    </xf>
    <xf numFmtId="2" fontId="9" fillId="0" borderId="0" xfId="0" applyNumberFormat="1" applyFont="1" applyAlignment="1">
      <alignment horizontal="right"/>
    </xf>
    <xf numFmtId="2" fontId="8" fillId="0" borderId="3" xfId="0" applyNumberFormat="1" applyFont="1" applyBorder="1" applyAlignment="1">
      <alignment horizontal="right"/>
    </xf>
    <xf numFmtId="0" fontId="23" fillId="0" borderId="0" xfId="0" applyFont="1"/>
    <xf numFmtId="174" fontId="8" fillId="0" borderId="3" xfId="0" applyNumberFormat="1" applyFont="1" applyBorder="1" applyAlignment="1">
      <alignment horizontal="right"/>
    </xf>
    <xf numFmtId="175" fontId="8" fillId="0" borderId="0" xfId="0" applyNumberFormat="1" applyFont="1"/>
    <xf numFmtId="3" fontId="8" fillId="0" borderId="0" xfId="0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3" fontId="26" fillId="0" borderId="1" xfId="0" applyNumberFormat="1" applyFont="1" applyBorder="1" applyAlignment="1">
      <alignment horizontal="right"/>
    </xf>
    <xf numFmtId="10" fontId="8" fillId="0" borderId="1" xfId="0" applyNumberFormat="1" applyFont="1" applyBorder="1" applyAlignment="1">
      <alignment horizontal="right"/>
    </xf>
    <xf numFmtId="166" fontId="8" fillId="0" borderId="1" xfId="0" applyNumberFormat="1" applyFont="1" applyBorder="1" applyAlignment="1">
      <alignment horizontal="right"/>
    </xf>
    <xf numFmtId="166" fontId="8" fillId="0" borderId="3" xfId="0" applyNumberFormat="1" applyFont="1" applyBorder="1" applyAlignment="1">
      <alignment horizontal="right"/>
    </xf>
    <xf numFmtId="4" fontId="9" fillId="0" borderId="0" xfId="0" applyNumberFormat="1" applyFont="1" applyAlignment="1">
      <alignment horizontal="center"/>
    </xf>
    <xf numFmtId="0" fontId="24" fillId="0" borderId="0" xfId="0" applyFont="1"/>
    <xf numFmtId="4" fontId="9" fillId="0" borderId="0" xfId="0" applyNumberFormat="1" applyFont="1"/>
    <xf numFmtId="3" fontId="8" fillId="0" borderId="1" xfId="0" applyNumberFormat="1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0" borderId="1" xfId="0" applyNumberFormat="1" applyFont="1" applyBorder="1" applyAlignment="1">
      <alignment horizontal="center"/>
    </xf>
    <xf numFmtId="2" fontId="23" fillId="0" borderId="0" xfId="0" applyNumberFormat="1" applyFont="1"/>
    <xf numFmtId="10" fontId="9" fillId="0" borderId="0" xfId="0" applyNumberFormat="1" applyFont="1"/>
    <xf numFmtId="0" fontId="27" fillId="0" borderId="0" xfId="0" applyFont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27" fillId="0" borderId="1" xfId="0" applyFont="1" applyBorder="1" applyAlignment="1">
      <alignment horizontal="right" vertical="center" wrapText="1"/>
    </xf>
    <xf numFmtId="0" fontId="27" fillId="0" borderId="0" xfId="0" applyFont="1" applyAlignment="1">
      <alignment wrapText="1"/>
    </xf>
    <xf numFmtId="0" fontId="27" fillId="0" borderId="0" xfId="0" applyFont="1" applyAlignment="1">
      <alignment horizontal="right" wrapText="1"/>
    </xf>
    <xf numFmtId="1" fontId="27" fillId="0" borderId="0" xfId="0" applyNumberFormat="1" applyFont="1" applyAlignment="1">
      <alignment horizontal="right" wrapText="1"/>
    </xf>
    <xf numFmtId="0" fontId="27" fillId="0" borderId="3" xfId="0" applyFont="1" applyBorder="1" applyAlignment="1">
      <alignment wrapText="1"/>
    </xf>
    <xf numFmtId="1" fontId="27" fillId="0" borderId="3" xfId="0" applyNumberFormat="1" applyFont="1" applyBorder="1" applyAlignment="1">
      <alignment horizontal="right" wrapText="1"/>
    </xf>
    <xf numFmtId="0" fontId="27" fillId="0" borderId="3" xfId="0" applyFont="1" applyBorder="1" applyAlignment="1">
      <alignment horizontal="right" wrapText="1"/>
    </xf>
    <xf numFmtId="0" fontId="28" fillId="0" borderId="0" xfId="0" applyFont="1" applyAlignment="1">
      <alignment vertical="center" wrapText="1"/>
    </xf>
    <xf numFmtId="0" fontId="29" fillId="2" borderId="0" xfId="0" applyFont="1" applyFill="1" applyAlignment="1">
      <alignment horizontal="left" vertical="center" wrapText="1"/>
    </xf>
    <xf numFmtId="0" fontId="29" fillId="2" borderId="0" xfId="0" applyFont="1" applyFill="1" applyAlignment="1">
      <alignment horizontal="right" vertical="center" wrapText="1"/>
    </xf>
    <xf numFmtId="164" fontId="8" fillId="0" borderId="0" xfId="0" applyNumberFormat="1" applyFont="1"/>
    <xf numFmtId="3" fontId="26" fillId="0" borderId="0" xfId="0" applyNumberFormat="1" applyFont="1" applyAlignment="1">
      <alignment horizontal="right"/>
    </xf>
    <xf numFmtId="3" fontId="22" fillId="0" borderId="1" xfId="0" applyNumberFormat="1" applyFont="1" applyBorder="1" applyAlignment="1">
      <alignment horizontal="right"/>
    </xf>
    <xf numFmtId="1" fontId="8" fillId="0" borderId="0" xfId="0" applyNumberFormat="1" applyFont="1" applyAlignment="1">
      <alignment horizontal="right"/>
    </xf>
    <xf numFmtId="1" fontId="8" fillId="0" borderId="1" xfId="0" applyNumberFormat="1" applyFont="1" applyBorder="1" applyAlignment="1">
      <alignment horizontal="right"/>
    </xf>
    <xf numFmtId="1" fontId="8" fillId="0" borderId="3" xfId="0" applyNumberFormat="1" applyFont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3" fontId="22" fillId="0" borderId="0" xfId="0" applyNumberFormat="1" applyFont="1" applyAlignment="1">
      <alignment horizontal="left"/>
    </xf>
    <xf numFmtId="3" fontId="8" fillId="0" borderId="0" xfId="0" applyNumberFormat="1" applyFont="1" applyAlignment="1">
      <alignment horizontal="left"/>
    </xf>
    <xf numFmtId="0" fontId="30" fillId="0" borderId="0" xfId="0" applyFont="1"/>
    <xf numFmtId="3" fontId="8" fillId="0" borderId="1" xfId="0" applyNumberFormat="1" applyFont="1" applyBorder="1" applyAlignment="1">
      <alignment horizontal="left"/>
    </xf>
    <xf numFmtId="3" fontId="8" fillId="0" borderId="3" xfId="0" applyNumberFormat="1" applyFont="1" applyBorder="1" applyAlignment="1">
      <alignment horizontal="left"/>
    </xf>
    <xf numFmtId="0" fontId="8" fillId="0" borderId="1" xfId="0" applyFont="1" applyBorder="1"/>
    <xf numFmtId="2" fontId="8" fillId="0" borderId="0" xfId="0" applyNumberFormat="1" applyFont="1"/>
    <xf numFmtId="167" fontId="8" fillId="0" borderId="0" xfId="0" applyNumberFormat="1" applyFont="1"/>
    <xf numFmtId="0" fontId="8" fillId="0" borderId="3" xfId="0" applyFont="1" applyBorder="1"/>
    <xf numFmtId="2" fontId="8" fillId="0" borderId="3" xfId="0" applyNumberFormat="1" applyFont="1" applyBorder="1"/>
    <xf numFmtId="4" fontId="8" fillId="0" borderId="0" xfId="0" applyNumberFormat="1" applyFont="1" applyAlignment="1">
      <alignment horizontal="center"/>
    </xf>
    <xf numFmtId="1" fontId="8" fillId="0" borderId="0" xfId="0" applyNumberFormat="1" applyFont="1"/>
    <xf numFmtId="1" fontId="8" fillId="0" borderId="0" xfId="0" applyNumberFormat="1" applyFont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22" fillId="0" borderId="1" xfId="0" applyFont="1" applyBorder="1"/>
    <xf numFmtId="1" fontId="8" fillId="0" borderId="1" xfId="0" applyNumberFormat="1" applyFont="1" applyBorder="1"/>
    <xf numFmtId="0" fontId="8" fillId="0" borderId="2" xfId="0" applyFont="1" applyBorder="1"/>
    <xf numFmtId="3" fontId="8" fillId="0" borderId="2" xfId="0" applyNumberFormat="1" applyFont="1" applyBorder="1"/>
    <xf numFmtId="3" fontId="8" fillId="0" borderId="2" xfId="0" applyNumberFormat="1" applyFont="1" applyBorder="1" applyAlignment="1">
      <alignment horizontal="right"/>
    </xf>
    <xf numFmtId="0" fontId="32" fillId="0" borderId="0" xfId="0" applyFont="1"/>
    <xf numFmtId="2" fontId="26" fillId="0" borderId="0" xfId="0" applyNumberFormat="1" applyFont="1"/>
    <xf numFmtId="2" fontId="9" fillId="0" borderId="0" xfId="0" applyNumberFormat="1" applyFont="1" applyAlignment="1">
      <alignment horizontal="center"/>
    </xf>
    <xf numFmtId="2" fontId="22" fillId="0" borderId="1" xfId="0" applyNumberFormat="1" applyFont="1" applyBorder="1"/>
    <xf numFmtId="2" fontId="8" fillId="0" borderId="1" xfId="0" applyNumberFormat="1" applyFont="1" applyBorder="1"/>
    <xf numFmtId="2" fontId="33" fillId="0" borderId="0" xfId="0" applyNumberFormat="1" applyFont="1"/>
    <xf numFmtId="2" fontId="22" fillId="0" borderId="0" xfId="0" applyNumberFormat="1" applyFont="1"/>
    <xf numFmtId="2" fontId="8" fillId="0" borderId="2" xfId="0" applyNumberFormat="1" applyFont="1" applyBorder="1"/>
    <xf numFmtId="1" fontId="8" fillId="0" borderId="2" xfId="0" applyNumberFormat="1" applyFont="1" applyBorder="1" applyAlignment="1">
      <alignment horizontal="center"/>
    </xf>
    <xf numFmtId="172" fontId="8" fillId="0" borderId="0" xfId="0" applyNumberFormat="1" applyFont="1"/>
    <xf numFmtId="0" fontId="17" fillId="0" borderId="0" xfId="0" applyFont="1"/>
    <xf numFmtId="0" fontId="8" fillId="0" borderId="0" xfId="5" applyFont="1" applyAlignment="1">
      <alignment horizontal="center"/>
    </xf>
    <xf numFmtId="0" fontId="9" fillId="0" borderId="0" xfId="5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3" applyFont="1" applyAlignment="1">
      <alignment horizontal="center"/>
    </xf>
    <xf numFmtId="3" fontId="8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1" fontId="8" fillId="0" borderId="0" xfId="0" applyNumberFormat="1" applyFont="1" applyAlignment="1">
      <alignment horizontal="center"/>
    </xf>
    <xf numFmtId="0" fontId="8" fillId="0" borderId="0" xfId="0" applyFont="1" applyAlignment="1">
      <alignment horizontal="right"/>
    </xf>
  </cellXfs>
  <cellStyles count="7">
    <cellStyle name="Comma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3" xfId="4" xr:uid="{00000000-0005-0000-0000-000004000000}"/>
    <cellStyle name="Normal 4" xfId="5" xr:uid="{00000000-0005-0000-0000-000005000000}"/>
    <cellStyle name="Percent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1642002032394"/>
          <c:y val="4.5492736054222216E-2"/>
          <c:w val="0.69170733735508594"/>
          <c:h val="0.88720312037260118"/>
        </c:manualLayout>
      </c:layout>
      <c:lineChart>
        <c:grouping val="standard"/>
        <c:varyColors val="0"/>
        <c:ser>
          <c:idx val="0"/>
          <c:order val="0"/>
          <c:tx>
            <c:strRef>
              <c:f>'Tabell 5.1 og Figur 5.2'!$A$8</c:f>
              <c:strCache>
                <c:ptCount val="1"/>
                <c:pt idx="0">
                  <c:v>Nåverdi</c:v>
                </c:pt>
              </c:strCache>
            </c:strRef>
          </c:tx>
          <c:marker>
            <c:symbol val="none"/>
          </c:marker>
          <c:cat>
            <c:numRef>
              <c:f>'Tabell 5.1 og Figur 5.2'!$A$22:$G$22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'Tabell 5.1 og Figur 5.2'!$B$8:$H$8</c:f>
              <c:numCache>
                <c:formatCode>#,##0</c:formatCode>
                <c:ptCount val="7"/>
                <c:pt idx="0">
                  <c:v>2556</c:v>
                </c:pt>
                <c:pt idx="1">
                  <c:v>1638.5591277601825</c:v>
                </c:pt>
                <c:pt idx="2">
                  <c:v>811.19514767223791</c:v>
                </c:pt>
                <c:pt idx="3">
                  <c:v>62.723383028485841</c:v>
                </c:pt>
                <c:pt idx="4">
                  <c:v>-616.38233418367417</c:v>
                </c:pt>
                <c:pt idx="5">
                  <c:v>-1234.2730336155155</c:v>
                </c:pt>
                <c:pt idx="6">
                  <c:v>-1797.9535395537032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738-4A70-8821-9D13765FBA6A}"/>
            </c:ext>
          </c:extLst>
        </c:ser>
        <c:ser>
          <c:idx val="1"/>
          <c:order val="1"/>
          <c:tx>
            <c:strRef>
              <c:f>'Tabell 5.1 og Figur 5.2'!$A$9</c:f>
              <c:strCache>
                <c:ptCount val="1"/>
                <c:pt idx="0">
                  <c:v>0</c:v>
                </c:pt>
              </c:strCache>
            </c:strRef>
          </c:tx>
          <c:marker>
            <c:symbol val="square"/>
            <c:size val="5"/>
            <c:spPr>
              <a:solidFill>
                <a:srgbClr val="C00000"/>
              </a:solidFill>
            </c:spPr>
          </c:marker>
          <c:cat>
            <c:numRef>
              <c:f>'Tabell 5.1 og Figur 5.2'!$A$22:$G$22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'Tabell 5.1 og Figur 5.2'!$B$9:$H$9</c:f>
            </c:numRef>
          </c:val>
          <c:smooth val="0"/>
          <c:extLst>
            <c:ext xmlns:c16="http://schemas.microsoft.com/office/drawing/2014/chart" uri="{C3380CC4-5D6E-409C-BE32-E72D297353CC}">
              <c16:uniqueId val="{00000001-0738-4A70-8821-9D13765FB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279896"/>
        <c:axId val="1"/>
      </c:lineChart>
      <c:catAx>
        <c:axId val="341279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 (%)</a:t>
                </a:r>
              </a:p>
            </c:rich>
          </c:tx>
          <c:layout>
            <c:manualLayout>
              <c:xMode val="edge"/>
              <c:yMode val="edge"/>
              <c:x val="0.34366328076059977"/>
              <c:y val="0.8482085982026813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  <c:min val="-20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 (tusen kroner)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341279896"/>
        <c:crosses val="autoZero"/>
        <c:crossBetween val="midCat"/>
        <c:majorUnit val="1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 5.9'!$A$30:$A$33</c:f>
              <c:numCache>
                <c:formatCode>General</c:formatCode>
                <c:ptCount val="4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</c:numCache>
            </c:numRef>
          </c:cat>
          <c:val>
            <c:numRef>
              <c:f>'Figur 5.9'!$B$13:$B$16</c:f>
              <c:numCache>
                <c:formatCode>#,##0</c:formatCode>
                <c:ptCount val="4"/>
                <c:pt idx="0">
                  <c:v>500.00000000000006</c:v>
                </c:pt>
                <c:pt idx="1">
                  <c:v>666.66666666666674</c:v>
                </c:pt>
                <c:pt idx="2">
                  <c:v>1000.0000000000005</c:v>
                </c:pt>
                <c:pt idx="3">
                  <c:v>2000.0000000000009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94-46DD-BC73-DCF4B741B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1276944"/>
        <c:axId val="1"/>
      </c:barChart>
      <c:catAx>
        <c:axId val="341276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Dividendvekst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ax val="25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Aksjekurs</a:t>
                </a:r>
              </a:p>
              <a:p>
                <a:pPr>
                  <a:defRPr/>
                </a:pPr>
                <a:r>
                  <a:rPr lang="nb-NO"/>
                  <a:t>(kroner)</a:t>
                </a:r>
              </a:p>
            </c:rich>
          </c:tx>
          <c:layout>
            <c:manualLayout>
              <c:xMode val="edge"/>
              <c:yMode val="edge"/>
              <c:x val="3.3333245698210931E-2"/>
              <c:y val="0.2913926200401420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41276944"/>
        <c:crosses val="autoZero"/>
        <c:crossBetween val="between"/>
        <c:majorUnit val="5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5.10'!$C$9:$L$9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'Figur 5.10'!$C$10:$L$10</c:f>
              <c:numCache>
                <c:formatCode>0.00</c:formatCode>
                <c:ptCount val="10"/>
                <c:pt idx="0">
                  <c:v>30</c:v>
                </c:pt>
                <c:pt idx="1">
                  <c:v>31.5</c:v>
                </c:pt>
                <c:pt idx="2">
                  <c:v>33.075000000000003</c:v>
                </c:pt>
                <c:pt idx="3">
                  <c:v>34.728750000000005</c:v>
                </c:pt>
                <c:pt idx="4">
                  <c:v>35.423325000000006</c:v>
                </c:pt>
                <c:pt idx="5">
                  <c:v>36.131791500000006</c:v>
                </c:pt>
                <c:pt idx="6">
                  <c:v>36.854427330000007</c:v>
                </c:pt>
                <c:pt idx="7">
                  <c:v>37.591515876600006</c:v>
                </c:pt>
                <c:pt idx="8">
                  <c:v>38.34334619413201</c:v>
                </c:pt>
                <c:pt idx="9">
                  <c:v>39.110213118014649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3DD-4896-B6C0-E60F7BCE3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8322384"/>
        <c:axId val="1"/>
      </c:lineChart>
      <c:catAx>
        <c:axId val="238322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År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Dividende (kroner)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238322384"/>
        <c:crosses val="autoZero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67617107942974"/>
          <c:y val="9.961723096724949E-2"/>
          <c:w val="0.80651731160896134"/>
          <c:h val="0.71264634461186172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'Tabell Leasing'!$B$27:$I$27</c:f>
              <c:strCache>
                <c:ptCount val="8"/>
                <c:pt idx="0">
                  <c:v> 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</c:strCache>
            </c:strRef>
          </c:cat>
          <c:val>
            <c:numRef>
              <c:f>'Tabell Leasing'!$B$26:$I$26</c:f>
              <c:numCache>
                <c:formatCode>0</c:formatCode>
                <c:ptCount val="8"/>
                <c:pt idx="0">
                  <c:v>-122.11874999999998</c:v>
                </c:pt>
                <c:pt idx="1">
                  <c:v>-77.940395205701293</c:v>
                </c:pt>
                <c:pt idx="2">
                  <c:v>-40.660593538692638</c:v>
                </c:pt>
                <c:pt idx="3">
                  <c:v>-8.9252897180899708</c:v>
                </c:pt>
                <c:pt idx="4">
                  <c:v>18.306857638888857</c:v>
                </c:pt>
                <c:pt idx="5">
                  <c:v>41.846400000000017</c:v>
                </c:pt>
                <c:pt idx="6">
                  <c:v>62.331247155211685</c:v>
                </c:pt>
                <c:pt idx="7">
                  <c:v>80.268556622466122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8A-4EA8-B74A-681272EAF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1278584"/>
        <c:axId val="1"/>
      </c:lineChart>
      <c:catAx>
        <c:axId val="341278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Kapitalkostnad, %</a:t>
                </a:r>
              </a:p>
            </c:rich>
          </c:tx>
          <c:layout>
            <c:manualLayout>
              <c:xMode val="edge"/>
              <c:yMode val="edge"/>
              <c:x val="0.44806514570294098"/>
              <c:y val="0.85440934825675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"/>
          <c:min val="-12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(tusen kroner)</a:t>
                </a:r>
              </a:p>
            </c:rich>
          </c:tx>
          <c:layout>
            <c:manualLayout>
              <c:xMode val="edge"/>
              <c:yMode val="edge"/>
              <c:x val="3.2586759988334789E-2"/>
              <c:y val="0.2643686205890930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1278584"/>
        <c:crosses val="autoZero"/>
        <c:crossBetween val="midCat"/>
        <c:majorUnit val="3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D34-4609-B2E0-A13BA3048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281536"/>
        <c:axId val="1"/>
      </c:lineChart>
      <c:catAx>
        <c:axId val="341281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Diskonteringsrente,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(mill. kr)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128153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25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'Tabell 5.18'!$C$9:$L$9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'Tabell 5.18'!$C$10:$L$10</c:f>
              <c:numCache>
                <c:formatCode>0.00</c:formatCode>
                <c:ptCount val="10"/>
                <c:pt idx="0">
                  <c:v>30</c:v>
                </c:pt>
                <c:pt idx="1">
                  <c:v>31.5</c:v>
                </c:pt>
                <c:pt idx="2">
                  <c:v>33.075000000000003</c:v>
                </c:pt>
                <c:pt idx="3">
                  <c:v>34.728750000000005</c:v>
                </c:pt>
                <c:pt idx="4">
                  <c:v>35.423325000000006</c:v>
                </c:pt>
                <c:pt idx="5">
                  <c:v>36.131791500000006</c:v>
                </c:pt>
                <c:pt idx="6">
                  <c:v>36.854427330000007</c:v>
                </c:pt>
                <c:pt idx="7">
                  <c:v>37.591515876600006</c:v>
                </c:pt>
                <c:pt idx="8">
                  <c:v>38.34334619413201</c:v>
                </c:pt>
                <c:pt idx="9">
                  <c:v>39.110213118014649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70E-477B-9746-9F6C9E4B2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0328976"/>
        <c:axId val="1"/>
      </c:lineChart>
      <c:catAx>
        <c:axId val="2403289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År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Dividende (kr.)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240328976"/>
        <c:crosses val="autoZero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1642002032394"/>
          <c:y val="4.5492736054222216E-2"/>
          <c:w val="0.67043874731235786"/>
          <c:h val="0.88720312037260118"/>
        </c:manualLayout>
      </c:layout>
      <c:lineChart>
        <c:grouping val="standard"/>
        <c:varyColors val="0"/>
        <c:ser>
          <c:idx val="0"/>
          <c:order val="0"/>
          <c:tx>
            <c:strRef>
              <c:f>'Figur 5.2'!$A$10</c:f>
              <c:strCache>
                <c:ptCount val="1"/>
                <c:pt idx="0">
                  <c:v>Alfa</c:v>
                </c:pt>
              </c:strCache>
            </c:strRef>
          </c:tx>
          <c:marker>
            <c:symbol val="none"/>
          </c:marker>
          <c:cat>
            <c:numRef>
              <c:f>'Figur 5.2'!$A$24:$G$24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'Figur 5.2'!$B$10:$H$10</c:f>
              <c:numCache>
                <c:formatCode>#,##0</c:formatCode>
                <c:ptCount val="7"/>
                <c:pt idx="0">
                  <c:v>2392</c:v>
                </c:pt>
                <c:pt idx="1">
                  <c:v>1481.9700620557569</c:v>
                </c:pt>
                <c:pt idx="2">
                  <c:v>661.56122167963986</c:v>
                </c:pt>
                <c:pt idx="3">
                  <c:v>-80.379126645041651</c:v>
                </c:pt>
                <c:pt idx="4">
                  <c:v>-753.34707543731929</c:v>
                </c:pt>
                <c:pt idx="5">
                  <c:v>-1365.4656036820884</c:v>
                </c:pt>
                <c:pt idx="6">
                  <c:v>-1923.7134760613308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A6D-4736-83EF-694ADE5757F4}"/>
            </c:ext>
          </c:extLst>
        </c:ser>
        <c:ser>
          <c:idx val="1"/>
          <c:order val="1"/>
          <c:tx>
            <c:strRef>
              <c:f>'Tabell 5.1 og Figur 5.2'!$A$9</c:f>
              <c:strCache>
                <c:ptCount val="1"/>
                <c:pt idx="0">
                  <c:v>0</c:v>
                </c:pt>
              </c:strCache>
            </c:strRef>
          </c:tx>
          <c:marker>
            <c:symbol val="square"/>
            <c:size val="5"/>
            <c:spPr>
              <a:solidFill>
                <a:srgbClr val="C00000"/>
              </a:solidFill>
            </c:spPr>
          </c:marker>
          <c:cat>
            <c:numRef>
              <c:f>'Tabell 5.1 og Figur 5.2'!$A$22:$G$22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'Tabell 5.1 og Figur 5.2'!$B$9:$H$9</c:f>
            </c:numRef>
          </c:val>
          <c:smooth val="0"/>
          <c:extLst>
            <c:ext xmlns:c16="http://schemas.microsoft.com/office/drawing/2014/chart" uri="{C3380CC4-5D6E-409C-BE32-E72D297353CC}">
              <c16:uniqueId val="{00000001-CA6D-4736-83EF-694ADE575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904672"/>
        <c:axId val="1"/>
      </c:lineChart>
      <c:catAx>
        <c:axId val="340904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 (%)</a:t>
                </a:r>
              </a:p>
            </c:rich>
          </c:tx>
          <c:layout>
            <c:manualLayout>
              <c:xMode val="edge"/>
              <c:yMode val="edge"/>
              <c:x val="0.34366315250388313"/>
              <c:y val="0.8482085982026813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34090467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5.4'!$M$7:$T$7</c:f>
              <c:numCache>
                <c:formatCode>#,##0</c:formatCode>
                <c:ptCount val="8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</c:numCache>
            </c:numRef>
          </c:cat>
          <c:val>
            <c:numRef>
              <c:f>'Figur 5.4'!$M$10:$T$10</c:f>
              <c:numCache>
                <c:formatCode>#,##0</c:formatCode>
                <c:ptCount val="8"/>
                <c:pt idx="0" formatCode="#,##0.00">
                  <c:v>-4.789200000000001</c:v>
                </c:pt>
                <c:pt idx="1">
                  <c:v>-3.5682227519271592</c:v>
                </c:pt>
                <c:pt idx="2">
                  <c:v>-2.4015239319663664</c:v>
                </c:pt>
                <c:pt idx="3">
                  <c:v>-1.2860198758553025</c:v>
                </c:pt>
                <c:pt idx="4" formatCode="#,##0.00">
                  <c:v>-0.21883553379674936</c:v>
                </c:pt>
                <c:pt idx="5">
                  <c:v>0.80271172794208923</c:v>
                </c:pt>
                <c:pt idx="6" formatCode="#,##0.00">
                  <c:v>1.781126914642293</c:v>
                </c:pt>
                <c:pt idx="7">
                  <c:v>2.7187509155932759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3AD-49F3-91FD-7DF4511C2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908608"/>
        <c:axId val="1"/>
      </c:lineChart>
      <c:catAx>
        <c:axId val="340908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</a:t>
                </a:r>
                <a:r>
                  <a:rPr lang="nb-NO" baseline="0"/>
                  <a:t> (</a:t>
                </a:r>
                <a:r>
                  <a:rPr lang="nb-NO"/>
                  <a:t>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-5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 (milioner</a:t>
                </a:r>
                <a:r>
                  <a:rPr lang="nb-NO" baseline="0"/>
                  <a:t> </a:t>
                </a:r>
                <a:r>
                  <a:rPr lang="nb-NO"/>
                  <a:t>kroner)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40908608"/>
        <c:crossesAt val="1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C0D9-4AD5-B052-86E879DD555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0D9-4AD5-B052-86E879DD555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0D9-4AD5-B052-86E879DD5555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>
                  <a:defRPr/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 5.5'!$A$3:$A$5</c:f>
              <c:strCache>
                <c:ptCount val="3"/>
                <c:pt idx="0">
                  <c:v>Null rente i studietiden</c:v>
                </c:pt>
                <c:pt idx="1">
                  <c:v>Omgjøringslån i studietiden</c:v>
                </c:pt>
                <c:pt idx="2">
                  <c:v>Lav rente etter studietiden</c:v>
                </c:pt>
              </c:strCache>
            </c:strRef>
          </c:cat>
          <c:val>
            <c:numRef>
              <c:f>'Figur 5.5'!$D$3:$D$5</c:f>
              <c:numCache>
                <c:formatCode>0%</c:formatCode>
                <c:ptCount val="3"/>
                <c:pt idx="0">
                  <c:v>0.12458169964044337</c:v>
                </c:pt>
                <c:pt idx="1">
                  <c:v>0.72326597846812957</c:v>
                </c:pt>
                <c:pt idx="2">
                  <c:v>0.15215232189142705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D9-4AD5-B052-86E879DD5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74949083503056"/>
          <c:y val="9.4545454545454544E-2"/>
          <c:w val="0.81873727087576376"/>
          <c:h val="0.552727272727272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 5.6'!$A$6</c:f>
              <c:strCache>
                <c:ptCount val="1"/>
                <c:pt idx="0">
                  <c:v>Annuitetslån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'Figur 5.6'!$B$5:$L$5</c:f>
              <c:numCache>
                <c:formatCode>#,##0</c:formatCode>
                <c:ptCount val="11"/>
                <c:pt idx="0" formatCode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'Figur 5.6'!$B$6:$L$6</c:f>
              <c:numCache>
                <c:formatCode>0</c:formatCode>
                <c:ptCount val="11"/>
                <c:pt idx="0">
                  <c:v>2000</c:v>
                </c:pt>
                <c:pt idx="1">
                  <c:v>1848.2640835592324</c:v>
                </c:pt>
                <c:pt idx="2">
                  <c:v>1687.4240121320186</c:v>
                </c:pt>
                <c:pt idx="3">
                  <c:v>1516.933536419172</c:v>
                </c:pt>
                <c:pt idx="4">
                  <c:v>1336.2136321635546</c:v>
                </c:pt>
                <c:pt idx="5">
                  <c:v>1144.6505336526002</c:v>
                </c:pt>
                <c:pt idx="6">
                  <c:v>941.5936492309886</c:v>
                </c:pt>
                <c:pt idx="7">
                  <c:v>726.35335174408033</c:v>
                </c:pt>
                <c:pt idx="8">
                  <c:v>498.19863640795751</c:v>
                </c:pt>
                <c:pt idx="9">
                  <c:v>256.3546381516673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0D-45F2-8D4E-3020AE971320}"/>
            </c:ext>
          </c:extLst>
        </c:ser>
        <c:ser>
          <c:idx val="1"/>
          <c:order val="1"/>
          <c:tx>
            <c:strRef>
              <c:f>'Figur 5.6'!$A$7</c:f>
              <c:strCache>
                <c:ptCount val="1"/>
                <c:pt idx="0">
                  <c:v>Serielån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'Figur 5.6'!$B$5:$L$5</c:f>
              <c:numCache>
                <c:formatCode>#,##0</c:formatCode>
                <c:ptCount val="11"/>
                <c:pt idx="0" formatCode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'Figur 5.6'!$B$7:$L$7</c:f>
              <c:numCache>
                <c:formatCode>0</c:formatCode>
                <c:ptCount val="11"/>
                <c:pt idx="0">
                  <c:v>2000</c:v>
                </c:pt>
                <c:pt idx="1">
                  <c:v>1800</c:v>
                </c:pt>
                <c:pt idx="2">
                  <c:v>1600</c:v>
                </c:pt>
                <c:pt idx="3">
                  <c:v>1400</c:v>
                </c:pt>
                <c:pt idx="4">
                  <c:v>1200</c:v>
                </c:pt>
                <c:pt idx="5">
                  <c:v>1000</c:v>
                </c:pt>
                <c:pt idx="6">
                  <c:v>800</c:v>
                </c:pt>
                <c:pt idx="7">
                  <c:v>600</c:v>
                </c:pt>
                <c:pt idx="8">
                  <c:v>400</c:v>
                </c:pt>
                <c:pt idx="9">
                  <c:v>200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0D-45F2-8D4E-3020AE971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0905328"/>
        <c:axId val="1"/>
      </c:barChart>
      <c:catAx>
        <c:axId val="340905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År</a:t>
                </a:r>
              </a:p>
            </c:rich>
          </c:tx>
          <c:layout>
            <c:manualLayout>
              <c:xMode val="edge"/>
              <c:yMode val="edge"/>
              <c:x val="0.48065164268259569"/>
              <c:y val="0.7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Tusen kroner</a:t>
                </a:r>
              </a:p>
            </c:rich>
          </c:tx>
          <c:layout>
            <c:manualLayout>
              <c:xMode val="edge"/>
              <c:yMode val="edge"/>
              <c:x val="3.2586393232286126E-2"/>
              <c:y val="0.2363636020317604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09053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50492724920545"/>
          <c:y val="0.88727279593647912"/>
          <c:w val="0.30691113915020257"/>
          <c:h val="8.727279593647918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0FF-4572-AB63-3916538A2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910248"/>
        <c:axId val="1"/>
      </c:lineChart>
      <c:catAx>
        <c:axId val="340910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Diskonteringsrente,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(mill. kr)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091024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25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89613034623218"/>
          <c:y val="9.3862981341277463E-2"/>
          <c:w val="0.68606550554807022"/>
          <c:h val="0.72924316272838652"/>
        </c:manualLayout>
      </c:layout>
      <c:lineChart>
        <c:grouping val="standard"/>
        <c:varyColors val="0"/>
        <c:ser>
          <c:idx val="1"/>
          <c:order val="0"/>
          <c:tx>
            <c:strRef>
              <c:f>'Figur 5.7'!$A$46</c:f>
              <c:strCache>
                <c:ptCount val="1"/>
                <c:pt idx="0">
                  <c:v>Annuitetslån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'Figur 5.7'!$B$50:$H$50</c:f>
              <c:numCache>
                <c:formatCode>0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</c:numCache>
            </c:numRef>
          </c:cat>
          <c:val>
            <c:numRef>
              <c:f>'Figur 5.7'!$B$46:$H$46</c:f>
              <c:numCache>
                <c:formatCode>#,##0</c:formatCode>
                <c:ptCount val="7"/>
                <c:pt idx="0">
                  <c:v>-2358.9346894028304</c:v>
                </c:pt>
                <c:pt idx="1">
                  <c:v>-1254.1562340313913</c:v>
                </c:pt>
                <c:pt idx="2">
                  <c:v>-512.49479348584464</c:v>
                </c:pt>
                <c:pt idx="3">
                  <c:v>2.2737367544323206E-12</c:v>
                </c:pt>
                <c:pt idx="4">
                  <c:v>364.26858866200791</c:v>
                </c:pt>
                <c:pt idx="5">
                  <c:v>630.2898505270407</c:v>
                </c:pt>
                <c:pt idx="6">
                  <c:v>829.59930579377419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033-421D-882B-DD4B58926E7D}"/>
            </c:ext>
          </c:extLst>
        </c:ser>
        <c:ser>
          <c:idx val="0"/>
          <c:order val="1"/>
          <c:tx>
            <c:strRef>
              <c:f>'Figur 5.7'!$A$45</c:f>
              <c:strCache>
                <c:ptCount val="1"/>
                <c:pt idx="0">
                  <c:v>Serielån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5.7'!$B$50:$H$50</c:f>
              <c:numCache>
                <c:formatCode>0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</c:numCache>
            </c:numRef>
          </c:cat>
          <c:val>
            <c:numRef>
              <c:f>'Figur 5.7'!$B$45:$H$45</c:f>
              <c:numCache>
                <c:formatCode>#,##0</c:formatCode>
                <c:ptCount val="7"/>
                <c:pt idx="0">
                  <c:v>-1859.9999999999964</c:v>
                </c:pt>
                <c:pt idx="1">
                  <c:v>-1013.8059265327456</c:v>
                </c:pt>
                <c:pt idx="2">
                  <c:v>-423.59888997784947</c:v>
                </c:pt>
                <c:pt idx="3">
                  <c:v>0</c:v>
                </c:pt>
                <c:pt idx="4">
                  <c:v>312.37027761454351</c:v>
                </c:pt>
                <c:pt idx="5">
                  <c:v>548.61561421364604</c:v>
                </c:pt>
                <c:pt idx="6">
                  <c:v>731.49386774442246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033-421D-882B-DD4B58926E7D}"/>
            </c:ext>
          </c:extLst>
        </c:ser>
        <c:ser>
          <c:idx val="2"/>
          <c:order val="2"/>
          <c:tx>
            <c:strRef>
              <c:f>'Figur 5.7'!$A$47</c:f>
              <c:strCache>
                <c:ptCount val="1"/>
                <c:pt idx="0">
                  <c:v>Annuitet-Serie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'Figur 5.7'!$B$50:$H$50</c:f>
              <c:numCache>
                <c:formatCode>0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</c:numCache>
            </c:numRef>
          </c:cat>
          <c:val>
            <c:numRef>
              <c:f>'Figur 5.7'!$B$47:$H$47</c:f>
              <c:numCache>
                <c:formatCode>#,##0</c:formatCode>
                <c:ptCount val="7"/>
                <c:pt idx="0">
                  <c:v>-498.93468940283401</c:v>
                </c:pt>
                <c:pt idx="1">
                  <c:v>-240.35030749864563</c:v>
                </c:pt>
                <c:pt idx="2">
                  <c:v>-88.895903507995172</c:v>
                </c:pt>
                <c:pt idx="3">
                  <c:v>2.2737367544323206E-12</c:v>
                </c:pt>
                <c:pt idx="4">
                  <c:v>51.898311047464404</c:v>
                </c:pt>
                <c:pt idx="5">
                  <c:v>81.674236313394658</c:v>
                </c:pt>
                <c:pt idx="6">
                  <c:v>98.105438049351733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33-421D-882B-DD4B58926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277928"/>
        <c:axId val="1"/>
      </c:lineChart>
      <c:catAx>
        <c:axId val="341277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</a:t>
                </a:r>
                <a:r>
                  <a:rPr lang="nb-NO" baseline="0"/>
                  <a:t> (</a:t>
                </a:r>
                <a:r>
                  <a:rPr lang="nb-NO"/>
                  <a:t>%)</a:t>
                </a:r>
              </a:p>
            </c:rich>
          </c:tx>
          <c:layout>
            <c:manualLayout>
              <c:xMode val="edge"/>
              <c:yMode val="edge"/>
              <c:x val="0.44336500106161431"/>
              <c:y val="0.8628173943045851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00"/>
          <c:min val="-250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(tusen kroner)</a:t>
                </a:r>
              </a:p>
            </c:rich>
          </c:tx>
          <c:layout>
            <c:manualLayout>
              <c:xMode val="edge"/>
              <c:yMode val="edge"/>
              <c:x val="3.2586408626632514E-2"/>
              <c:y val="0.2779786329525710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127792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2916701677350573"/>
          <c:y val="0.93144430889800744"/>
          <c:w val="0.53298693085051119"/>
          <c:h val="4.728155459440808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10</xdr:row>
      <xdr:rowOff>47625</xdr:rowOff>
    </xdr:from>
    <xdr:to>
      <xdr:col>9</xdr:col>
      <xdr:colOff>266700</xdr:colOff>
      <xdr:row>36</xdr:row>
      <xdr:rowOff>38100</xdr:rowOff>
    </xdr:to>
    <xdr:graphicFrame macro="">
      <xdr:nvGraphicFramePr>
        <xdr:cNvPr id="1495102" name="Chart 2">
          <a:extLst>
            <a:ext uri="{FF2B5EF4-FFF2-40B4-BE49-F238E27FC236}">
              <a16:creationId xmlns:a16="http://schemas.microsoft.com/office/drawing/2014/main" id="{00000000-0008-0000-0000-00003ED0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14</xdr:row>
      <xdr:rowOff>0</xdr:rowOff>
    </xdr:from>
    <xdr:to>
      <xdr:col>8</xdr:col>
      <xdr:colOff>66675</xdr:colOff>
      <xdr:row>30</xdr:row>
      <xdr:rowOff>114300</xdr:rowOff>
    </xdr:to>
    <xdr:graphicFrame macro="">
      <xdr:nvGraphicFramePr>
        <xdr:cNvPr id="1373269" name="Chart 2">
          <a:extLst>
            <a:ext uri="{FF2B5EF4-FFF2-40B4-BE49-F238E27FC236}">
              <a16:creationId xmlns:a16="http://schemas.microsoft.com/office/drawing/2014/main" id="{00000000-0008-0000-1900-000055F4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485775</xdr:colOff>
      <xdr:row>7</xdr:row>
      <xdr:rowOff>114300</xdr:rowOff>
    </xdr:from>
    <xdr:to>
      <xdr:col>11</xdr:col>
      <xdr:colOff>295275</xdr:colOff>
      <xdr:row>23</xdr:row>
      <xdr:rowOff>9525</xdr:rowOff>
    </xdr:to>
    <xdr:graphicFrame macro="">
      <xdr:nvGraphicFramePr>
        <xdr:cNvPr id="13511" name="Chart 1">
          <a:extLst>
            <a:ext uri="{FF2B5EF4-FFF2-40B4-BE49-F238E27FC236}">
              <a16:creationId xmlns:a16="http://schemas.microsoft.com/office/drawing/2014/main" id="{00000000-0008-0000-1A00-0000C7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</xdr:row>
      <xdr:rowOff>0</xdr:rowOff>
    </xdr:from>
    <xdr:to>
      <xdr:col>9</xdr:col>
      <xdr:colOff>152400</xdr:colOff>
      <xdr:row>1</xdr:row>
      <xdr:rowOff>0</xdr:rowOff>
    </xdr:to>
    <xdr:graphicFrame macro="">
      <xdr:nvGraphicFramePr>
        <xdr:cNvPr id="10699" name="Chart 2">
          <a:extLst>
            <a:ext uri="{FF2B5EF4-FFF2-40B4-BE49-F238E27FC236}">
              <a16:creationId xmlns:a16="http://schemas.microsoft.com/office/drawing/2014/main" id="{00000000-0008-0000-0E00-0000CB2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13</xdr:row>
      <xdr:rowOff>123825</xdr:rowOff>
    </xdr:from>
    <xdr:to>
      <xdr:col>8</xdr:col>
      <xdr:colOff>66675</xdr:colOff>
      <xdr:row>30</xdr:row>
      <xdr:rowOff>114300</xdr:rowOff>
    </xdr:to>
    <xdr:graphicFrame macro="">
      <xdr:nvGraphicFramePr>
        <xdr:cNvPr id="2095123" name="Chart 2">
          <a:extLst>
            <a:ext uri="{FF2B5EF4-FFF2-40B4-BE49-F238E27FC236}">
              <a16:creationId xmlns:a16="http://schemas.microsoft.com/office/drawing/2014/main" id="{00000000-0008-0000-1100-000013F81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12</xdr:row>
      <xdr:rowOff>85725</xdr:rowOff>
    </xdr:from>
    <xdr:to>
      <xdr:col>24</xdr:col>
      <xdr:colOff>600075</xdr:colOff>
      <xdr:row>38</xdr:row>
      <xdr:rowOff>76200</xdr:rowOff>
    </xdr:to>
    <xdr:graphicFrame macro="">
      <xdr:nvGraphicFramePr>
        <xdr:cNvPr id="1544251" name="Chart 2">
          <a:extLst>
            <a:ext uri="{FF2B5EF4-FFF2-40B4-BE49-F238E27FC236}">
              <a16:creationId xmlns:a16="http://schemas.microsoft.com/office/drawing/2014/main" id="{00000000-0008-0000-1300-00003B901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428625</xdr:colOff>
      <xdr:row>11</xdr:row>
      <xdr:rowOff>9525</xdr:rowOff>
    </xdr:from>
    <xdr:to>
      <xdr:col>18</xdr:col>
      <xdr:colOff>371475</xdr:colOff>
      <xdr:row>27</xdr:row>
      <xdr:rowOff>47625</xdr:rowOff>
    </xdr:to>
    <xdr:graphicFrame macro="">
      <xdr:nvGraphicFramePr>
        <xdr:cNvPr id="173239" name="Chart 1">
          <a:extLst>
            <a:ext uri="{FF2B5EF4-FFF2-40B4-BE49-F238E27FC236}">
              <a16:creationId xmlns:a16="http://schemas.microsoft.com/office/drawing/2014/main" id="{00000000-0008-0000-1400-0000B7A4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7</xdr:row>
      <xdr:rowOff>66675</xdr:rowOff>
    </xdr:from>
    <xdr:to>
      <xdr:col>8</xdr:col>
      <xdr:colOff>600075</xdr:colOff>
      <xdr:row>27</xdr:row>
      <xdr:rowOff>81643</xdr:rowOff>
    </xdr:to>
    <xdr:graphicFrame macro="">
      <xdr:nvGraphicFramePr>
        <xdr:cNvPr id="1026145" name="Chart 2">
          <a:extLst>
            <a:ext uri="{FF2B5EF4-FFF2-40B4-BE49-F238E27FC236}">
              <a16:creationId xmlns:a16="http://schemas.microsoft.com/office/drawing/2014/main" id="{00000000-0008-0000-1500-000061A8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9</xdr:row>
      <xdr:rowOff>57150</xdr:rowOff>
    </xdr:from>
    <xdr:to>
      <xdr:col>9</xdr:col>
      <xdr:colOff>66675</xdr:colOff>
      <xdr:row>25</xdr:row>
      <xdr:rowOff>85725</xdr:rowOff>
    </xdr:to>
    <xdr:graphicFrame macro="">
      <xdr:nvGraphicFramePr>
        <xdr:cNvPr id="14537" name="Chart 1">
          <a:extLst>
            <a:ext uri="{FF2B5EF4-FFF2-40B4-BE49-F238E27FC236}">
              <a16:creationId xmlns:a16="http://schemas.microsoft.com/office/drawing/2014/main" id="{00000000-0008-0000-1600-0000C93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0</xdr:row>
      <xdr:rowOff>0</xdr:rowOff>
    </xdr:from>
    <xdr:to>
      <xdr:col>9</xdr:col>
      <xdr:colOff>152400</xdr:colOff>
      <xdr:row>0</xdr:row>
      <xdr:rowOff>0</xdr:rowOff>
    </xdr:to>
    <xdr:graphicFrame macro="">
      <xdr:nvGraphicFramePr>
        <xdr:cNvPr id="674044" name="Chart 2">
          <a:extLst>
            <a:ext uri="{FF2B5EF4-FFF2-40B4-BE49-F238E27FC236}">
              <a16:creationId xmlns:a16="http://schemas.microsoft.com/office/drawing/2014/main" id="{00000000-0008-0000-1700-0000FC480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41</xdr:row>
      <xdr:rowOff>9525</xdr:rowOff>
    </xdr:from>
    <xdr:to>
      <xdr:col>25</xdr:col>
      <xdr:colOff>304800</xdr:colOff>
      <xdr:row>65</xdr:row>
      <xdr:rowOff>133350</xdr:rowOff>
    </xdr:to>
    <xdr:graphicFrame macro="">
      <xdr:nvGraphicFramePr>
        <xdr:cNvPr id="674045" name="Chart 3">
          <a:extLst>
            <a:ext uri="{FF2B5EF4-FFF2-40B4-BE49-F238E27FC236}">
              <a16:creationId xmlns:a16="http://schemas.microsoft.com/office/drawing/2014/main" id="{00000000-0008-0000-1700-0000FD480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4</xdr:row>
      <xdr:rowOff>47625</xdr:rowOff>
    </xdr:from>
    <xdr:to>
      <xdr:col>10</xdr:col>
      <xdr:colOff>390525</xdr:colOff>
      <xdr:row>21</xdr:row>
      <xdr:rowOff>38100</xdr:rowOff>
    </xdr:to>
    <xdr:graphicFrame macro="">
      <xdr:nvGraphicFramePr>
        <xdr:cNvPr id="451736" name="Chart 1">
          <a:extLst>
            <a:ext uri="{FF2B5EF4-FFF2-40B4-BE49-F238E27FC236}">
              <a16:creationId xmlns:a16="http://schemas.microsoft.com/office/drawing/2014/main" id="{00000000-0008-0000-1800-000098E40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19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0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1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2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3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0"/>
  <sheetViews>
    <sheetView tabSelected="1" zoomScaleNormal="100" workbookViewId="0">
      <selection activeCell="J7" sqref="J7"/>
    </sheetView>
  </sheetViews>
  <sheetFormatPr baseColWidth="10" defaultColWidth="11.42578125" defaultRowHeight="15" outlineLevelRow="1" x14ac:dyDescent="0.25"/>
  <cols>
    <col min="1" max="1" width="21.28515625" style="18" customWidth="1"/>
    <col min="2" max="2" width="10.85546875" style="18" customWidth="1"/>
    <col min="3" max="5" width="8.42578125" style="18" customWidth="1"/>
    <col min="6" max="6" width="11.42578125" style="18" customWidth="1"/>
    <col min="7" max="8" width="8.42578125" style="18" customWidth="1"/>
    <col min="9" max="21" width="7.85546875" style="18" customWidth="1"/>
    <col min="22" max="22" width="0.85546875" style="18" customWidth="1"/>
    <col min="23" max="16384" width="11.42578125" style="18"/>
  </cols>
  <sheetData>
    <row r="1" spans="1:25" ht="18" customHeight="1" x14ac:dyDescent="0.3">
      <c r="A1" s="18" t="s">
        <v>102</v>
      </c>
      <c r="C1" s="183"/>
      <c r="D1" s="183"/>
      <c r="E1" s="183"/>
      <c r="F1" s="183"/>
      <c r="G1" s="183"/>
      <c r="X1" s="57"/>
    </row>
    <row r="2" spans="1:25" x14ac:dyDescent="0.25">
      <c r="A2" s="20"/>
      <c r="B2" s="182" t="s">
        <v>53</v>
      </c>
      <c r="C2" s="182"/>
      <c r="D2" s="182"/>
      <c r="E2" s="182"/>
      <c r="F2" s="182"/>
      <c r="G2" s="182"/>
      <c r="H2" s="182"/>
    </row>
    <row r="3" spans="1:25" x14ac:dyDescent="0.25">
      <c r="A3" s="21"/>
      <c r="B3" s="22">
        <v>2020</v>
      </c>
      <c r="C3" s="21">
        <f>B3+1</f>
        <v>2021</v>
      </c>
      <c r="D3" s="21">
        <f>C3+1</f>
        <v>2022</v>
      </c>
      <c r="E3" s="21">
        <f t="shared" ref="E3" si="0">D3+1</f>
        <v>2023</v>
      </c>
      <c r="F3" s="21"/>
      <c r="G3" s="21"/>
      <c r="H3" s="23" t="s">
        <v>100</v>
      </c>
      <c r="V3" s="21">
        <f>U3+1</f>
        <v>1</v>
      </c>
    </row>
    <row r="4" spans="1:25" x14ac:dyDescent="0.25">
      <c r="A4" s="32" t="s">
        <v>1</v>
      </c>
      <c r="B4" s="25">
        <v>-10600</v>
      </c>
      <c r="C4" s="25">
        <v>60</v>
      </c>
      <c r="D4" s="25">
        <v>7125</v>
      </c>
      <c r="E4" s="25">
        <v>5971</v>
      </c>
      <c r="F4" s="25"/>
      <c r="G4" s="25"/>
      <c r="H4" s="27">
        <f>IRR(B4:E4)</f>
        <v>9.2652998850491386E-2</v>
      </c>
      <c r="I4" s="26"/>
      <c r="J4" s="26"/>
      <c r="K4" s="26"/>
      <c r="M4" s="26"/>
      <c r="N4" s="26"/>
      <c r="O4" s="26"/>
      <c r="P4" s="26"/>
      <c r="Q4" s="26"/>
    </row>
    <row r="5" spans="1:25" ht="12.75" customHeight="1" x14ac:dyDescent="0.25">
      <c r="A5" s="28"/>
      <c r="B5" s="25"/>
      <c r="C5" s="25"/>
      <c r="D5" s="25"/>
      <c r="E5" s="25"/>
      <c r="F5" s="25"/>
      <c r="G5" s="25"/>
      <c r="H5" s="25"/>
      <c r="I5" s="26"/>
      <c r="J5" s="26"/>
      <c r="K5" s="26"/>
      <c r="W5" s="27"/>
    </row>
    <row r="6" spans="1:25" x14ac:dyDescent="0.25">
      <c r="A6" s="20"/>
      <c r="B6" s="182" t="s">
        <v>17</v>
      </c>
      <c r="C6" s="182"/>
      <c r="D6" s="182"/>
      <c r="E6" s="182"/>
      <c r="F6" s="182"/>
      <c r="G6" s="182"/>
      <c r="H6" s="182"/>
    </row>
    <row r="7" spans="1:25" x14ac:dyDescent="0.25">
      <c r="A7" s="21"/>
      <c r="B7" s="29">
        <f>C7-C7</f>
        <v>0</v>
      </c>
      <c r="C7" s="30">
        <v>0.03</v>
      </c>
      <c r="D7" s="31">
        <f>C7+$C$7</f>
        <v>0.06</v>
      </c>
      <c r="E7" s="31">
        <f>D7+$C$7</f>
        <v>0.09</v>
      </c>
      <c r="F7" s="31">
        <f>E7+$C$7</f>
        <v>0.12</v>
      </c>
      <c r="G7" s="31">
        <f>F7+$C$7</f>
        <v>0.15</v>
      </c>
      <c r="H7" s="31">
        <f>G7+$C$7</f>
        <v>0.18</v>
      </c>
    </row>
    <row r="8" spans="1:25" x14ac:dyDescent="0.25">
      <c r="A8" s="32" t="s">
        <v>92</v>
      </c>
      <c r="B8" s="33">
        <f t="shared" ref="B8:H8" si="1">NPV(B7,$B$4:$E$4)*(1+B7)</f>
        <v>2556</v>
      </c>
      <c r="C8" s="33">
        <f t="shared" si="1"/>
        <v>1638.5591277601825</v>
      </c>
      <c r="D8" s="33">
        <f t="shared" si="1"/>
        <v>811.19514767223791</v>
      </c>
      <c r="E8" s="33">
        <f t="shared" si="1"/>
        <v>62.723383028485841</v>
      </c>
      <c r="F8" s="33">
        <f t="shared" si="1"/>
        <v>-616.38233418367417</v>
      </c>
      <c r="G8" s="33">
        <f t="shared" si="1"/>
        <v>-1234.2730336155155</v>
      </c>
      <c r="H8" s="33">
        <f t="shared" si="1"/>
        <v>-1797.9535395537032</v>
      </c>
      <c r="I8" s="34"/>
    </row>
    <row r="9" spans="1:25" hidden="1" outlineLevel="1" x14ac:dyDescent="0.25">
      <c r="A9" s="32">
        <f>A5</f>
        <v>0</v>
      </c>
      <c r="B9" s="33">
        <f>NPV(B7,$B$5:$V5)*(1+B7)</f>
        <v>0</v>
      </c>
      <c r="C9" s="33">
        <f>NPV(C7,$B$5:$V5)*(1+C7)</f>
        <v>0</v>
      </c>
      <c r="D9" s="33">
        <f>NPV(D7,$B$5:$V5)*(1+D7)</f>
        <v>0</v>
      </c>
      <c r="E9" s="33">
        <f>NPV(E7,$B$5:$V5)*(1+E7)</f>
        <v>0</v>
      </c>
      <c r="F9" s="33">
        <f>NPV(F7,$B$5:$V5)*(1+F7)</f>
        <v>0</v>
      </c>
      <c r="G9" s="33">
        <f>NPV(G7,$B$5:$V5)*(1+G7)</f>
        <v>0</v>
      </c>
      <c r="H9" s="33">
        <f>NPV(H7,$B$5:$V5)*(1+H7)</f>
        <v>0</v>
      </c>
    </row>
    <row r="10" spans="1:25" collapsed="1" x14ac:dyDescent="0.25"/>
    <row r="11" spans="1:25" x14ac:dyDescent="0.25">
      <c r="Y11" s="35"/>
    </row>
    <row r="20" spans="2:18" x14ac:dyDescent="0.25">
      <c r="R20" s="18" t="s">
        <v>0</v>
      </c>
    </row>
    <row r="22" spans="2:18" x14ac:dyDescent="0.25">
      <c r="B22" s="35">
        <f t="shared" ref="B22:G22" si="2">C7*100</f>
        <v>3</v>
      </c>
      <c r="C22" s="35">
        <f t="shared" si="2"/>
        <v>6</v>
      </c>
      <c r="D22" s="35">
        <f t="shared" si="2"/>
        <v>9</v>
      </c>
      <c r="E22" s="35">
        <f t="shared" si="2"/>
        <v>12</v>
      </c>
      <c r="F22" s="35">
        <f t="shared" si="2"/>
        <v>15</v>
      </c>
      <c r="G22" s="35">
        <f t="shared" si="2"/>
        <v>18</v>
      </c>
    </row>
    <row r="30" spans="2:18" x14ac:dyDescent="0.25">
      <c r="B30" s="36"/>
    </row>
    <row r="34" spans="1:1" x14ac:dyDescent="0.25">
      <c r="A34" s="32"/>
    </row>
    <row r="50" spans="2:8" x14ac:dyDescent="0.25">
      <c r="B50" s="37"/>
      <c r="C50" s="38"/>
      <c r="D50" s="38"/>
      <c r="E50" s="38"/>
      <c r="F50" s="38"/>
      <c r="G50" s="38"/>
      <c r="H50" s="38"/>
    </row>
  </sheetData>
  <mergeCells count="3">
    <mergeCell ref="B6:H6"/>
    <mergeCell ref="B2:H2"/>
    <mergeCell ref="C1:G1"/>
  </mergeCells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I25"/>
  <sheetViews>
    <sheetView topLeftCell="A18" zoomScaleNormal="100" workbookViewId="0">
      <selection activeCell="E21" sqref="E21"/>
    </sheetView>
  </sheetViews>
  <sheetFormatPr baseColWidth="10" defaultColWidth="11.42578125" defaultRowHeight="12.75" outlineLevelRow="2" outlineLevelCol="1" x14ac:dyDescent="0.2"/>
  <cols>
    <col min="1" max="1" width="23.42578125" style="59" customWidth="1"/>
    <col min="2" max="2" width="13.5703125" style="59" customWidth="1"/>
    <col min="3" max="3" width="8" style="59" customWidth="1"/>
    <col min="4" max="4" width="11.42578125" style="59" customWidth="1"/>
    <col min="5" max="5" width="11.28515625" style="59" customWidth="1"/>
    <col min="6" max="7" width="7.28515625" style="59" customWidth="1"/>
    <col min="8" max="15" width="9.140625" style="59" customWidth="1" outlineLevel="1"/>
    <col min="16" max="16" width="7.7109375" style="59" customWidth="1"/>
    <col min="17" max="17" width="8.140625" style="59" customWidth="1"/>
    <col min="18" max="18" width="5.5703125" style="59" customWidth="1"/>
    <col min="19" max="19" width="14.28515625" style="59" customWidth="1"/>
    <col min="20" max="20" width="9.28515625" style="59" bestFit="1" customWidth="1"/>
    <col min="21" max="21" width="11.42578125" style="59" customWidth="1"/>
    <col min="22" max="22" width="18" style="59" customWidth="1"/>
    <col min="23" max="16384" width="11.42578125" style="59"/>
  </cols>
  <sheetData>
    <row r="1" spans="1:35" ht="15" hidden="1" outlineLevel="1" x14ac:dyDescent="0.25">
      <c r="A1" s="58" t="s">
        <v>102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35" ht="15" hidden="1" outlineLevel="1" collapsed="1" x14ac:dyDescent="0.25">
      <c r="A2" s="58"/>
      <c r="B2" s="58"/>
      <c r="C2" s="58"/>
      <c r="D2" s="58"/>
      <c r="E2" s="58"/>
      <c r="F2" s="185" t="s">
        <v>53</v>
      </c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58"/>
    </row>
    <row r="3" spans="1:35" ht="15" hidden="1" outlineLevel="1" x14ac:dyDescent="0.25">
      <c r="A3" s="58"/>
      <c r="B3" s="60" t="s">
        <v>113</v>
      </c>
      <c r="C3" s="58"/>
      <c r="D3" s="60" t="s">
        <v>114</v>
      </c>
      <c r="E3" s="58"/>
      <c r="F3" s="61">
        <v>2016</v>
      </c>
      <c r="G3" s="58">
        <f t="shared" ref="G3:P3" si="0">F3+1</f>
        <v>2017</v>
      </c>
      <c r="H3" s="58">
        <f t="shared" si="0"/>
        <v>2018</v>
      </c>
      <c r="I3" s="58">
        <f t="shared" si="0"/>
        <v>2019</v>
      </c>
      <c r="J3" s="58">
        <f t="shared" si="0"/>
        <v>2020</v>
      </c>
      <c r="K3" s="58">
        <f t="shared" si="0"/>
        <v>2021</v>
      </c>
      <c r="L3" s="58">
        <f t="shared" si="0"/>
        <v>2022</v>
      </c>
      <c r="M3" s="58">
        <f t="shared" si="0"/>
        <v>2023</v>
      </c>
      <c r="N3" s="58">
        <f t="shared" si="0"/>
        <v>2024</v>
      </c>
      <c r="O3" s="58">
        <f t="shared" si="0"/>
        <v>2025</v>
      </c>
      <c r="P3" s="58">
        <f t="shared" si="0"/>
        <v>2026</v>
      </c>
      <c r="Q3" s="58"/>
    </row>
    <row r="4" spans="1:35" ht="15" hidden="1" outlineLevel="2" x14ac:dyDescent="0.25">
      <c r="A4" s="62" t="s">
        <v>115</v>
      </c>
      <c r="B4" s="63">
        <v>10000</v>
      </c>
      <c r="C4" s="64" t="s">
        <v>116</v>
      </c>
      <c r="D4" s="63">
        <v>15000</v>
      </c>
      <c r="E4" s="64" t="s">
        <v>117</v>
      </c>
      <c r="F4" s="63"/>
      <c r="G4" s="58">
        <f t="shared" ref="G4:P4" si="1">$D$4*$B$4/1000000</f>
        <v>150</v>
      </c>
      <c r="H4" s="58">
        <f t="shared" si="1"/>
        <v>150</v>
      </c>
      <c r="I4" s="58">
        <f t="shared" si="1"/>
        <v>150</v>
      </c>
      <c r="J4" s="58">
        <f t="shared" si="1"/>
        <v>150</v>
      </c>
      <c r="K4" s="58">
        <f t="shared" si="1"/>
        <v>150</v>
      </c>
      <c r="L4" s="58">
        <f t="shared" si="1"/>
        <v>150</v>
      </c>
      <c r="M4" s="58">
        <f t="shared" si="1"/>
        <v>150</v>
      </c>
      <c r="N4" s="58">
        <f t="shared" si="1"/>
        <v>150</v>
      </c>
      <c r="O4" s="58">
        <f t="shared" si="1"/>
        <v>150</v>
      </c>
      <c r="P4" s="58">
        <f t="shared" si="1"/>
        <v>150</v>
      </c>
      <c r="Q4" s="61" t="s">
        <v>118</v>
      </c>
      <c r="S4" s="65"/>
      <c r="AA4" s="66"/>
      <c r="AB4" s="66"/>
      <c r="AC4" s="66"/>
      <c r="AD4" s="66"/>
      <c r="AE4" s="66"/>
      <c r="AF4" s="66"/>
      <c r="AG4" s="66"/>
      <c r="AH4" s="66"/>
      <c r="AI4" s="66"/>
    </row>
    <row r="5" spans="1:35" ht="15" hidden="1" outlineLevel="2" x14ac:dyDescent="0.25">
      <c r="A5" s="62" t="s">
        <v>119</v>
      </c>
      <c r="B5" s="63">
        <v>20000</v>
      </c>
      <c r="C5" s="64" t="s">
        <v>116</v>
      </c>
      <c r="D5" s="63">
        <v>2500</v>
      </c>
      <c r="E5" s="64" t="s">
        <v>117</v>
      </c>
      <c r="F5" s="63"/>
      <c r="G5" s="58">
        <f t="shared" ref="G5:P5" si="2">-$D$5*$B$5/1000000</f>
        <v>-50</v>
      </c>
      <c r="H5" s="58">
        <f t="shared" si="2"/>
        <v>-50</v>
      </c>
      <c r="I5" s="58">
        <f t="shared" si="2"/>
        <v>-50</v>
      </c>
      <c r="J5" s="58">
        <f t="shared" si="2"/>
        <v>-50</v>
      </c>
      <c r="K5" s="58">
        <f t="shared" si="2"/>
        <v>-50</v>
      </c>
      <c r="L5" s="58">
        <f t="shared" si="2"/>
        <v>-50</v>
      </c>
      <c r="M5" s="58">
        <f t="shared" si="2"/>
        <v>-50</v>
      </c>
      <c r="N5" s="58">
        <f t="shared" si="2"/>
        <v>-50</v>
      </c>
      <c r="O5" s="58">
        <f t="shared" si="2"/>
        <v>-50</v>
      </c>
      <c r="P5" s="58">
        <f t="shared" si="2"/>
        <v>-50</v>
      </c>
      <c r="Q5" s="58" t="s">
        <v>120</v>
      </c>
    </row>
    <row r="6" spans="1:35" ht="15" hidden="1" outlineLevel="2" x14ac:dyDescent="0.25">
      <c r="A6" s="58" t="s">
        <v>112</v>
      </c>
      <c r="B6" s="63">
        <v>145000000</v>
      </c>
      <c r="C6" s="67" t="s">
        <v>121</v>
      </c>
      <c r="D6" s="68">
        <v>0.35</v>
      </c>
      <c r="E6" s="69" t="s">
        <v>122</v>
      </c>
      <c r="F6" s="63"/>
      <c r="G6" s="70">
        <f t="shared" ref="G6:P6" si="3">-$D$6*$B$6/1000000</f>
        <v>-50.75</v>
      </c>
      <c r="H6" s="70">
        <f t="shared" si="3"/>
        <v>-50.75</v>
      </c>
      <c r="I6" s="70">
        <f t="shared" si="3"/>
        <v>-50.75</v>
      </c>
      <c r="J6" s="70">
        <f t="shared" si="3"/>
        <v>-50.75</v>
      </c>
      <c r="K6" s="70">
        <f t="shared" si="3"/>
        <v>-50.75</v>
      </c>
      <c r="L6" s="70">
        <f t="shared" si="3"/>
        <v>-50.75</v>
      </c>
      <c r="M6" s="70">
        <f t="shared" si="3"/>
        <v>-50.75</v>
      </c>
      <c r="N6" s="70">
        <f t="shared" si="3"/>
        <v>-50.75</v>
      </c>
      <c r="O6" s="70">
        <f t="shared" si="3"/>
        <v>-50.75</v>
      </c>
      <c r="P6" s="70">
        <f t="shared" si="3"/>
        <v>-50.75</v>
      </c>
      <c r="Q6" s="58" t="s">
        <v>120</v>
      </c>
    </row>
    <row r="7" spans="1:35" ht="15" hidden="1" outlineLevel="2" x14ac:dyDescent="0.25">
      <c r="A7" s="58" t="s">
        <v>123</v>
      </c>
      <c r="B7" s="58"/>
      <c r="C7" s="58"/>
      <c r="D7" s="58"/>
      <c r="E7" s="58"/>
      <c r="F7" s="58"/>
      <c r="G7" s="70">
        <f t="shared" ref="G7:P7" si="4">SUM(G4:G6)</f>
        <v>49.25</v>
      </c>
      <c r="H7" s="70">
        <f t="shared" si="4"/>
        <v>49.25</v>
      </c>
      <c r="I7" s="70">
        <f t="shared" si="4"/>
        <v>49.25</v>
      </c>
      <c r="J7" s="70">
        <f t="shared" si="4"/>
        <v>49.25</v>
      </c>
      <c r="K7" s="70">
        <f t="shared" si="4"/>
        <v>49.25</v>
      </c>
      <c r="L7" s="70">
        <f t="shared" si="4"/>
        <v>49.25</v>
      </c>
      <c r="M7" s="70">
        <f t="shared" si="4"/>
        <v>49.25</v>
      </c>
      <c r="N7" s="70">
        <f t="shared" si="4"/>
        <v>49.25</v>
      </c>
      <c r="O7" s="70">
        <f t="shared" si="4"/>
        <v>49.25</v>
      </c>
      <c r="P7" s="70">
        <f t="shared" si="4"/>
        <v>49.25</v>
      </c>
      <c r="Q7" s="58" t="s">
        <v>120</v>
      </c>
      <c r="U7" s="71"/>
    </row>
    <row r="8" spans="1:35" ht="15" hidden="1" outlineLevel="2" x14ac:dyDescent="0.25">
      <c r="A8" s="58" t="s">
        <v>124</v>
      </c>
      <c r="B8" s="63">
        <v>14</v>
      </c>
      <c r="C8" s="64" t="s">
        <v>125</v>
      </c>
      <c r="D8" s="63">
        <v>700000</v>
      </c>
      <c r="E8" s="58" t="s">
        <v>126</v>
      </c>
      <c r="F8" s="63"/>
      <c r="G8" s="70">
        <f t="shared" ref="G8:P8" si="5">-$D$8*$B$8/1000000</f>
        <v>-9.8000000000000007</v>
      </c>
      <c r="H8" s="70">
        <f t="shared" si="5"/>
        <v>-9.8000000000000007</v>
      </c>
      <c r="I8" s="70">
        <f t="shared" si="5"/>
        <v>-9.8000000000000007</v>
      </c>
      <c r="J8" s="70">
        <f t="shared" si="5"/>
        <v>-9.8000000000000007</v>
      </c>
      <c r="K8" s="70">
        <f t="shared" si="5"/>
        <v>-9.8000000000000007</v>
      </c>
      <c r="L8" s="70">
        <f t="shared" si="5"/>
        <v>-9.8000000000000007</v>
      </c>
      <c r="M8" s="70">
        <f t="shared" si="5"/>
        <v>-9.8000000000000007</v>
      </c>
      <c r="N8" s="70">
        <f t="shared" si="5"/>
        <v>-9.8000000000000007</v>
      </c>
      <c r="O8" s="70">
        <f t="shared" si="5"/>
        <v>-9.8000000000000007</v>
      </c>
      <c r="P8" s="70">
        <f t="shared" si="5"/>
        <v>-9.8000000000000007</v>
      </c>
      <c r="Q8" s="58" t="s">
        <v>120</v>
      </c>
    </row>
    <row r="9" spans="1:35" ht="15" hidden="1" outlineLevel="2" x14ac:dyDescent="0.25">
      <c r="A9" s="72" t="s">
        <v>127</v>
      </c>
      <c r="D9" s="58"/>
      <c r="E9" s="58"/>
      <c r="F9" s="61">
        <v>-250</v>
      </c>
      <c r="G9" s="58"/>
      <c r="H9" s="58"/>
      <c r="I9" s="58"/>
      <c r="J9" s="58"/>
      <c r="K9" s="58"/>
      <c r="L9" s="58"/>
      <c r="M9" s="58"/>
      <c r="N9" s="58"/>
      <c r="O9" s="58"/>
      <c r="P9" s="61">
        <v>100</v>
      </c>
      <c r="Q9" s="59" t="s">
        <v>120</v>
      </c>
    </row>
    <row r="10" spans="1:35" ht="15" hidden="1" outlineLevel="2" x14ac:dyDescent="0.25">
      <c r="A10" s="58" t="s">
        <v>128</v>
      </c>
      <c r="B10" s="73">
        <v>0.15</v>
      </c>
      <c r="E10" s="58"/>
      <c r="F10" s="70">
        <f>-D4*B4*B10/1000000</f>
        <v>-22.5</v>
      </c>
      <c r="G10" s="58"/>
      <c r="H10" s="58"/>
      <c r="I10" s="58"/>
      <c r="J10" s="58"/>
      <c r="K10" s="58"/>
      <c r="L10" s="58"/>
      <c r="M10" s="58"/>
      <c r="N10" s="58"/>
      <c r="O10" s="58"/>
      <c r="P10" s="70">
        <f>-F10</f>
        <v>22.5</v>
      </c>
      <c r="Q10" s="58" t="s">
        <v>120</v>
      </c>
    </row>
    <row r="11" spans="1:35" ht="15" hidden="1" outlineLevel="1" collapsed="1" x14ac:dyDescent="0.25">
      <c r="A11" s="58" t="s">
        <v>1</v>
      </c>
      <c r="B11" s="58"/>
      <c r="C11" s="58"/>
      <c r="D11" s="58"/>
      <c r="E11" s="58"/>
      <c r="F11" s="70">
        <f t="shared" ref="F11:P11" si="6">SUM(F7:F10)</f>
        <v>-272.5</v>
      </c>
      <c r="G11" s="70">
        <f t="shared" si="6"/>
        <v>39.450000000000003</v>
      </c>
      <c r="H11" s="70">
        <f t="shared" si="6"/>
        <v>39.450000000000003</v>
      </c>
      <c r="I11" s="70">
        <f t="shared" si="6"/>
        <v>39.450000000000003</v>
      </c>
      <c r="J11" s="70">
        <f t="shared" si="6"/>
        <v>39.450000000000003</v>
      </c>
      <c r="K11" s="70">
        <f t="shared" si="6"/>
        <v>39.450000000000003</v>
      </c>
      <c r="L11" s="70">
        <f t="shared" si="6"/>
        <v>39.450000000000003</v>
      </c>
      <c r="M11" s="70">
        <f t="shared" si="6"/>
        <v>39.450000000000003</v>
      </c>
      <c r="N11" s="70">
        <f t="shared" si="6"/>
        <v>39.450000000000003</v>
      </c>
      <c r="O11" s="70">
        <f t="shared" si="6"/>
        <v>39.450000000000003</v>
      </c>
      <c r="P11" s="70">
        <f t="shared" si="6"/>
        <v>161.94999999999999</v>
      </c>
      <c r="Q11" s="58" t="s">
        <v>120</v>
      </c>
    </row>
    <row r="12" spans="1:35" ht="15" hidden="1" outlineLevel="1" x14ac:dyDescent="0.25">
      <c r="A12" s="58" t="s">
        <v>100</v>
      </c>
      <c r="F12" s="77">
        <f>IRR(F11:P11)</f>
        <v>0.11219941298389013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35" ht="15" hidden="1" outlineLevel="1" x14ac:dyDescent="0.25">
      <c r="A13" s="58" t="s">
        <v>129</v>
      </c>
      <c r="D13" s="75">
        <v>0.09</v>
      </c>
      <c r="E13" s="73"/>
      <c r="F13" s="64">
        <f>NPV(D13,$F$11:$P$11)*(1+D13)</f>
        <v>32.421920155444752</v>
      </c>
      <c r="G13" s="58" t="str">
        <f>Q4</f>
        <v>mill. kr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35" ht="15" hidden="1" outlineLevel="1" x14ac:dyDescent="0.25">
      <c r="A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35" ht="15" hidden="1" outlineLevel="1" x14ac:dyDescent="0.25">
      <c r="G15" s="74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35" ht="15" hidden="1" outlineLevel="1" x14ac:dyDescent="0.25">
      <c r="A16" s="58"/>
      <c r="D16" s="74"/>
      <c r="E16" s="74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</row>
    <row r="17" spans="1:22" ht="15" hidden="1" outlineLevel="1" x14ac:dyDescent="0.25">
      <c r="A17" s="58" t="s">
        <v>130</v>
      </c>
      <c r="B17" s="76">
        <v>0.04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</row>
    <row r="18" spans="1:22" ht="15" collapsed="1" x14ac:dyDescent="0.25">
      <c r="A18" s="58"/>
      <c r="B18" s="76"/>
      <c r="C18" s="58"/>
      <c r="D18" s="62" t="s">
        <v>17</v>
      </c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</row>
    <row r="19" spans="1:22" ht="15" x14ac:dyDescent="0.25">
      <c r="B19" s="77">
        <f>C19-C19</f>
        <v>0</v>
      </c>
      <c r="C19" s="76">
        <v>0.03</v>
      </c>
      <c r="D19" s="77">
        <f>C19+$C$19</f>
        <v>0.06</v>
      </c>
      <c r="E19" s="77">
        <f>D19+$C$19</f>
        <v>0.09</v>
      </c>
      <c r="F19" s="77">
        <f>E19+$C$19</f>
        <v>0.12</v>
      </c>
      <c r="G19" s="78">
        <f>F19+$C$19</f>
        <v>0.15</v>
      </c>
      <c r="H19" s="77"/>
      <c r="I19" s="58"/>
      <c r="J19" s="58"/>
      <c r="K19" s="58"/>
      <c r="L19" s="58"/>
      <c r="M19" s="58"/>
      <c r="N19" s="58"/>
      <c r="O19" s="58"/>
      <c r="P19" s="58"/>
      <c r="Q19" s="58"/>
    </row>
    <row r="20" spans="1:22" ht="15" outlineLevel="1" x14ac:dyDescent="0.25">
      <c r="A20" s="62" t="s">
        <v>131</v>
      </c>
      <c r="B20" s="77"/>
      <c r="C20" s="77">
        <f>C19</f>
        <v>0.03</v>
      </c>
      <c r="D20" s="77">
        <f>D19</f>
        <v>0.06</v>
      </c>
      <c r="E20" s="77">
        <f>E19</f>
        <v>0.09</v>
      </c>
      <c r="F20" s="77">
        <f>F19</f>
        <v>0.12</v>
      </c>
      <c r="G20" s="78">
        <f>G19</f>
        <v>0.15</v>
      </c>
      <c r="H20" s="77"/>
      <c r="I20" s="58"/>
      <c r="J20" s="58"/>
      <c r="K20" s="58"/>
      <c r="L20" s="58"/>
      <c r="M20" s="58"/>
      <c r="N20" s="58"/>
      <c r="O20" s="58"/>
      <c r="P20" s="58"/>
      <c r="Q20" s="58"/>
    </row>
    <row r="21" spans="1:22" ht="15" x14ac:dyDescent="0.25">
      <c r="A21" s="62" t="s">
        <v>92</v>
      </c>
      <c r="B21" s="64">
        <f t="shared" ref="B21:G21" si="7">NPV(B19,$F$11:$P$11)*(1+B19)</f>
        <v>244.49999999999997</v>
      </c>
      <c r="C21" s="64">
        <f t="shared" si="7"/>
        <v>155.1680064856553</v>
      </c>
      <c r="D21" s="64">
        <f t="shared" si="7"/>
        <v>86.258794350411662</v>
      </c>
      <c r="E21" s="64">
        <f t="shared" si="7"/>
        <v>32.421920155444752</v>
      </c>
      <c r="F21" s="64">
        <f t="shared" si="7"/>
        <v>-10.156980046831215</v>
      </c>
      <c r="G21" s="79">
        <f t="shared" si="7"/>
        <v>-44.229451210122043</v>
      </c>
      <c r="H21" s="64"/>
      <c r="I21" s="58"/>
      <c r="J21" s="58"/>
      <c r="K21" s="58"/>
      <c r="L21" s="58"/>
      <c r="M21" s="58"/>
      <c r="N21" s="58"/>
      <c r="O21" s="58"/>
      <c r="P21" s="58"/>
      <c r="Q21" s="58"/>
    </row>
    <row r="24" spans="1:22" x14ac:dyDescent="0.2">
      <c r="U24" s="80"/>
    </row>
    <row r="25" spans="1:22" x14ac:dyDescent="0.2">
      <c r="V25" s="81"/>
    </row>
  </sheetData>
  <mergeCells count="1">
    <mergeCell ref="F2:P2"/>
  </mergeCells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127"/>
  <sheetViews>
    <sheetView zoomScaleNormal="100" workbookViewId="0"/>
  </sheetViews>
  <sheetFormatPr baseColWidth="10" defaultColWidth="11.42578125" defaultRowHeight="15" x14ac:dyDescent="0.25"/>
  <cols>
    <col min="1" max="1" width="14.5703125" style="39" customWidth="1"/>
    <col min="2" max="2" width="8.140625" style="39" customWidth="1"/>
    <col min="3" max="4" width="8" style="39" customWidth="1"/>
    <col min="5" max="5" width="7.7109375" style="39" customWidth="1"/>
    <col min="6" max="7" width="7.42578125" style="39" customWidth="1"/>
    <col min="8" max="8" width="7.85546875" style="39" customWidth="1"/>
    <col min="9" max="9" width="8" style="39" customWidth="1"/>
    <col min="10" max="10" width="6.5703125" style="39" customWidth="1"/>
    <col min="11" max="12" width="7.140625" style="39" customWidth="1"/>
    <col min="13" max="13" width="7" style="39" customWidth="1"/>
    <col min="14" max="14" width="7.28515625" style="39" customWidth="1"/>
    <col min="15" max="15" width="7.140625" style="39" customWidth="1"/>
    <col min="16" max="16" width="7.5703125" style="39" customWidth="1"/>
    <col min="17" max="17" width="6.42578125" style="39" customWidth="1"/>
    <col min="18" max="18" width="6.140625" style="39" customWidth="1"/>
    <col min="19" max="19" width="7" style="39" customWidth="1"/>
    <col min="20" max="20" width="6.7109375" style="39" customWidth="1"/>
    <col min="21" max="22" width="6.5703125" style="39" customWidth="1"/>
    <col min="23" max="23" width="7.5703125" style="39" customWidth="1"/>
    <col min="24" max="24" width="8.28515625" style="39" customWidth="1"/>
    <col min="25" max="25" width="8" style="39" customWidth="1"/>
    <col min="26" max="26" width="7.85546875" style="39" customWidth="1"/>
    <col min="27" max="27" width="8.140625" style="39" customWidth="1"/>
    <col min="28" max="16384" width="11.42578125" style="39"/>
  </cols>
  <sheetData>
    <row r="1" spans="1:22" s="104" customFormat="1" x14ac:dyDescent="0.25">
      <c r="A1" s="83" t="s">
        <v>102</v>
      </c>
      <c r="D1" s="83"/>
    </row>
    <row r="2" spans="1:22" s="104" customFormat="1" x14ac:dyDescent="0.25">
      <c r="A2" s="83"/>
      <c r="D2" s="83"/>
    </row>
    <row r="3" spans="1:22" x14ac:dyDescent="0.25">
      <c r="A3" s="39" t="s">
        <v>3</v>
      </c>
      <c r="B3" s="105">
        <v>40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</row>
    <row r="4" spans="1:22" x14ac:dyDescent="0.25">
      <c r="A4" s="39" t="s">
        <v>4</v>
      </c>
      <c r="B4" s="105">
        <v>0.14000000000000001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</row>
    <row r="5" spans="1:22" x14ac:dyDescent="0.25">
      <c r="A5" s="39" t="s">
        <v>6</v>
      </c>
      <c r="B5" s="105">
        <v>0.05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</row>
    <row r="6" spans="1:22" x14ac:dyDescent="0.25">
      <c r="A6" s="39" t="s">
        <v>5</v>
      </c>
      <c r="B6" s="105">
        <v>0.22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</row>
    <row r="7" spans="1:22" s="104" customFormat="1" x14ac:dyDescent="0.25">
      <c r="A7" s="39" t="s">
        <v>14</v>
      </c>
      <c r="B7" s="107">
        <v>5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</row>
    <row r="8" spans="1:22" s="104" customFormat="1" x14ac:dyDescent="0.25"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</row>
    <row r="9" spans="1:22" s="109" customFormat="1" x14ac:dyDescent="0.25">
      <c r="B9" s="186" t="s">
        <v>53</v>
      </c>
      <c r="C9" s="186"/>
      <c r="D9" s="186"/>
      <c r="E9" s="186"/>
      <c r="F9" s="186"/>
      <c r="G9" s="18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</row>
    <row r="10" spans="1:22" s="104" customFormat="1" x14ac:dyDescent="0.25">
      <c r="A10" s="110"/>
      <c r="B10" s="111">
        <v>0</v>
      </c>
      <c r="C10" s="111">
        <v>1</v>
      </c>
      <c r="D10" s="111">
        <v>2</v>
      </c>
      <c r="E10" s="111">
        <v>3</v>
      </c>
      <c r="F10" s="111">
        <v>4</v>
      </c>
      <c r="G10" s="111">
        <v>5</v>
      </c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</row>
    <row r="11" spans="1:22" s="104" customFormat="1" x14ac:dyDescent="0.25">
      <c r="A11" s="39" t="s">
        <v>7</v>
      </c>
      <c r="B11" s="112">
        <f>B3</f>
        <v>40</v>
      </c>
      <c r="C11" s="112"/>
      <c r="D11" s="112"/>
      <c r="E11" s="112"/>
      <c r="F11" s="112"/>
      <c r="G11" s="112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</row>
    <row r="12" spans="1:22" s="104" customFormat="1" x14ac:dyDescent="0.25">
      <c r="A12" s="39" t="s">
        <v>8</v>
      </c>
      <c r="B12" s="112">
        <f>B11</f>
        <v>40</v>
      </c>
      <c r="C12" s="112">
        <f>B12+C14</f>
        <v>32</v>
      </c>
      <c r="D12" s="112">
        <f>C12+D14</f>
        <v>24</v>
      </c>
      <c r="E12" s="112">
        <f>D12+E14</f>
        <v>16</v>
      </c>
      <c r="F12" s="112">
        <f>E12+F14</f>
        <v>8</v>
      </c>
      <c r="G12" s="112">
        <f>F12+G14</f>
        <v>0</v>
      </c>
      <c r="H12" s="108"/>
      <c r="I12" s="108"/>
      <c r="J12" s="108"/>
      <c r="K12" s="108"/>
      <c r="L12" s="108" t="s">
        <v>0</v>
      </c>
      <c r="M12" s="108"/>
      <c r="N12" s="108"/>
      <c r="O12" s="108"/>
      <c r="P12" s="108"/>
      <c r="Q12" s="108"/>
      <c r="R12" s="108"/>
      <c r="S12" s="108"/>
      <c r="T12" s="108"/>
      <c r="U12" s="108"/>
      <c r="V12" s="108"/>
    </row>
    <row r="13" spans="1:22" s="104" customFormat="1" x14ac:dyDescent="0.25">
      <c r="A13" s="39" t="s">
        <v>4</v>
      </c>
      <c r="B13" s="112">
        <f>-B4</f>
        <v>-0.14000000000000001</v>
      </c>
      <c r="C13" s="112"/>
      <c r="D13" s="112"/>
      <c r="E13" s="112"/>
      <c r="F13" s="112"/>
      <c r="G13" s="112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</row>
    <row r="14" spans="1:22" s="104" customFormat="1" x14ac:dyDescent="0.25">
      <c r="A14" s="39" t="s">
        <v>9</v>
      </c>
      <c r="B14" s="112"/>
      <c r="C14" s="112">
        <f>-B3/B7</f>
        <v>-8</v>
      </c>
      <c r="D14" s="112">
        <f>C14</f>
        <v>-8</v>
      </c>
      <c r="E14" s="112">
        <f>D14</f>
        <v>-8</v>
      </c>
      <c r="F14" s="112">
        <f>E14</f>
        <v>-8</v>
      </c>
      <c r="G14" s="112">
        <f>F14</f>
        <v>-8</v>
      </c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</row>
    <row r="15" spans="1:22" s="104" customFormat="1" x14ac:dyDescent="0.25">
      <c r="A15" s="110" t="s">
        <v>10</v>
      </c>
      <c r="B15" s="113"/>
      <c r="C15" s="113">
        <f>-$B$5*B12</f>
        <v>-2</v>
      </c>
      <c r="D15" s="113">
        <f>-$B$5*C12</f>
        <v>-1.6</v>
      </c>
      <c r="E15" s="113">
        <f>-$B$5*D12</f>
        <v>-1.2000000000000002</v>
      </c>
      <c r="F15" s="113">
        <f>-$B$5*E12</f>
        <v>-0.8</v>
      </c>
      <c r="G15" s="113">
        <f>-$B$5*F12</f>
        <v>-0.4</v>
      </c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</row>
    <row r="16" spans="1:22" s="104" customFormat="1" x14ac:dyDescent="0.25">
      <c r="A16" s="39" t="s">
        <v>1</v>
      </c>
      <c r="B16" s="112"/>
      <c r="C16" s="112"/>
      <c r="D16" s="112"/>
      <c r="E16" s="112"/>
      <c r="F16" s="112"/>
      <c r="G16" s="112"/>
      <c r="H16" s="108"/>
      <c r="I16" s="108"/>
      <c r="J16" s="108"/>
      <c r="K16" s="108"/>
      <c r="L16" s="108" t="s">
        <v>0</v>
      </c>
      <c r="M16" s="108" t="s">
        <v>0</v>
      </c>
      <c r="N16" s="108"/>
      <c r="O16" s="108"/>
      <c r="P16" s="108"/>
      <c r="Q16" s="108"/>
      <c r="R16" s="108"/>
      <c r="S16" s="108"/>
      <c r="T16" s="108"/>
      <c r="U16" s="108"/>
      <c r="V16" s="108"/>
    </row>
    <row r="17" spans="1:22" s="104" customFormat="1" x14ac:dyDescent="0.25">
      <c r="A17" s="39" t="s">
        <v>11</v>
      </c>
      <c r="B17" s="112">
        <f>B11+B13</f>
        <v>39.86</v>
      </c>
      <c r="C17" s="112">
        <f>C14+C15</f>
        <v>-10</v>
      </c>
      <c r="D17" s="112">
        <f>D14+D15</f>
        <v>-9.6</v>
      </c>
      <c r="E17" s="112">
        <f>E14+E15</f>
        <v>-9.1999999999999993</v>
      </c>
      <c r="F17" s="112">
        <f>F14+F15</f>
        <v>-8.8000000000000007</v>
      </c>
      <c r="G17" s="112">
        <f>G14+G15</f>
        <v>-8.4</v>
      </c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</row>
    <row r="18" spans="1:22" s="104" customFormat="1" x14ac:dyDescent="0.25">
      <c r="A18" s="110" t="s">
        <v>12</v>
      </c>
      <c r="B18" s="113">
        <f>B4*B6</f>
        <v>3.0800000000000004E-2</v>
      </c>
      <c r="C18" s="113">
        <f>-$B$6*C15</f>
        <v>0.44</v>
      </c>
      <c r="D18" s="113">
        <f>-$B$6*D15</f>
        <v>0.35200000000000004</v>
      </c>
      <c r="E18" s="113">
        <f>-$B$6*E15</f>
        <v>0.26400000000000007</v>
      </c>
      <c r="F18" s="113">
        <f>-$B$6*F15</f>
        <v>0.17600000000000002</v>
      </c>
      <c r="G18" s="113">
        <f>-$B$6*G15</f>
        <v>8.8000000000000009E-2</v>
      </c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</row>
    <row r="19" spans="1:22" s="104" customFormat="1" x14ac:dyDescent="0.25">
      <c r="A19" s="39" t="s">
        <v>1</v>
      </c>
      <c r="B19" s="112"/>
      <c r="C19" s="114"/>
      <c r="D19" s="114"/>
      <c r="E19" s="114"/>
      <c r="F19" s="114"/>
      <c r="G19" s="114"/>
      <c r="H19" s="108"/>
      <c r="I19" s="108"/>
      <c r="J19" s="108" t="s">
        <v>0</v>
      </c>
      <c r="K19" s="108"/>
      <c r="L19" s="108"/>
      <c r="M19" s="108" t="s">
        <v>0</v>
      </c>
      <c r="N19" s="108"/>
      <c r="O19" s="108"/>
      <c r="P19" s="108"/>
      <c r="Q19" s="108"/>
      <c r="R19" s="108"/>
      <c r="S19" s="108"/>
      <c r="T19" s="108"/>
      <c r="U19" s="108"/>
      <c r="V19" s="108"/>
    </row>
    <row r="20" spans="1:22" s="104" customFormat="1" ht="15.75" thickBot="1" x14ac:dyDescent="0.3">
      <c r="A20" s="46" t="s">
        <v>13</v>
      </c>
      <c r="B20" s="115">
        <f t="shared" ref="B20:G20" si="0">B17+B18</f>
        <v>39.890799999999999</v>
      </c>
      <c r="C20" s="115">
        <f t="shared" si="0"/>
        <v>-9.56</v>
      </c>
      <c r="D20" s="115">
        <f t="shared" si="0"/>
        <v>-9.2479999999999993</v>
      </c>
      <c r="E20" s="115">
        <f t="shared" si="0"/>
        <v>-8.9359999999999999</v>
      </c>
      <c r="F20" s="115">
        <f t="shared" si="0"/>
        <v>-8.6240000000000006</v>
      </c>
      <c r="G20" s="115">
        <f t="shared" si="0"/>
        <v>-8.3120000000000012</v>
      </c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</row>
    <row r="21" spans="1:22" s="104" customFormat="1" ht="15.75" thickTop="1" x14ac:dyDescent="0.25">
      <c r="B21" s="108"/>
      <c r="C21" s="108"/>
      <c r="D21" s="108"/>
      <c r="E21" s="108"/>
      <c r="F21" s="108"/>
      <c r="G21" s="108"/>
      <c r="H21" s="108"/>
      <c r="I21" s="108"/>
      <c r="J21" s="108"/>
      <c r="K21" s="108" t="s">
        <v>0</v>
      </c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</row>
    <row r="22" spans="1:22" s="116" customFormat="1" ht="14.25" x14ac:dyDescent="0.2"/>
    <row r="23" spans="1:22" s="116" customFormat="1" ht="14.25" x14ac:dyDescent="0.2"/>
    <row r="24" spans="1:22" s="116" customFormat="1" ht="14.25" x14ac:dyDescent="0.2">
      <c r="J24" s="116" t="s">
        <v>0</v>
      </c>
    </row>
    <row r="25" spans="1:22" s="116" customFormat="1" ht="14.25" x14ac:dyDescent="0.2">
      <c r="K25" s="116" t="s">
        <v>0</v>
      </c>
    </row>
    <row r="26" spans="1:22" s="116" customFormat="1" ht="14.25" x14ac:dyDescent="0.2">
      <c r="I26" s="116" t="s">
        <v>0</v>
      </c>
    </row>
    <row r="27" spans="1:22" s="116" customFormat="1" ht="14.25" x14ac:dyDescent="0.2"/>
    <row r="28" spans="1:22" s="116" customFormat="1" ht="14.25" x14ac:dyDescent="0.2">
      <c r="F28" s="116" t="s">
        <v>0</v>
      </c>
    </row>
    <row r="29" spans="1:22" s="116" customFormat="1" ht="14.25" x14ac:dyDescent="0.2"/>
    <row r="30" spans="1:22" s="116" customFormat="1" ht="14.25" x14ac:dyDescent="0.2"/>
    <row r="31" spans="1:22" s="116" customFormat="1" ht="14.25" x14ac:dyDescent="0.2"/>
    <row r="32" spans="1:22" s="116" customFormat="1" ht="14.25" x14ac:dyDescent="0.2"/>
    <row r="33" spans="3:10" s="116" customFormat="1" ht="14.25" x14ac:dyDescent="0.2">
      <c r="J33" s="116" t="s">
        <v>0</v>
      </c>
    </row>
    <row r="34" spans="3:10" s="116" customFormat="1" ht="14.25" x14ac:dyDescent="0.2"/>
    <row r="35" spans="3:10" s="116" customFormat="1" ht="14.25" x14ac:dyDescent="0.2">
      <c r="C35" s="116" t="s">
        <v>0</v>
      </c>
    </row>
    <row r="36" spans="3:10" s="116" customFormat="1" ht="14.25" x14ac:dyDescent="0.2"/>
    <row r="37" spans="3:10" s="116" customFormat="1" ht="14.25" x14ac:dyDescent="0.2">
      <c r="H37" s="116" t="s">
        <v>0</v>
      </c>
    </row>
    <row r="38" spans="3:10" s="116" customFormat="1" ht="14.25" x14ac:dyDescent="0.2"/>
    <row r="39" spans="3:10" s="116" customFormat="1" ht="14.25" x14ac:dyDescent="0.2"/>
    <row r="40" spans="3:10" s="116" customFormat="1" ht="14.25" x14ac:dyDescent="0.2"/>
    <row r="41" spans="3:10" s="116" customFormat="1" ht="14.25" x14ac:dyDescent="0.2"/>
    <row r="42" spans="3:10" s="116" customFormat="1" ht="14.25" x14ac:dyDescent="0.2"/>
    <row r="43" spans="3:10" s="116" customFormat="1" ht="14.25" x14ac:dyDescent="0.2"/>
    <row r="44" spans="3:10" s="116" customFormat="1" ht="14.25" x14ac:dyDescent="0.2"/>
    <row r="45" spans="3:10" s="116" customFormat="1" ht="14.25" x14ac:dyDescent="0.2"/>
    <row r="46" spans="3:10" s="116" customFormat="1" ht="14.25" x14ac:dyDescent="0.2"/>
    <row r="47" spans="3:10" s="116" customFormat="1" ht="14.25" x14ac:dyDescent="0.2"/>
    <row r="48" spans="3:10" s="116" customFormat="1" ht="14.25" x14ac:dyDescent="0.2"/>
    <row r="49" s="116" customFormat="1" ht="14.25" x14ac:dyDescent="0.2"/>
    <row r="50" s="116" customFormat="1" ht="14.25" x14ac:dyDescent="0.2"/>
    <row r="51" s="116" customFormat="1" ht="14.25" x14ac:dyDescent="0.2"/>
    <row r="52" s="116" customFormat="1" ht="14.25" x14ac:dyDescent="0.2"/>
    <row r="53" s="116" customFormat="1" ht="14.25" x14ac:dyDescent="0.2"/>
    <row r="54" s="116" customFormat="1" ht="14.25" x14ac:dyDescent="0.2"/>
    <row r="55" s="116" customFormat="1" ht="14.25" x14ac:dyDescent="0.2"/>
    <row r="56" s="116" customFormat="1" ht="14.25" x14ac:dyDescent="0.2"/>
    <row r="57" s="116" customFormat="1" ht="14.25" x14ac:dyDescent="0.2"/>
    <row r="58" s="116" customFormat="1" ht="14.25" x14ac:dyDescent="0.2"/>
    <row r="59" s="116" customFormat="1" ht="14.25" x14ac:dyDescent="0.2"/>
    <row r="60" s="116" customFormat="1" ht="14.25" x14ac:dyDescent="0.2"/>
    <row r="61" s="116" customFormat="1" ht="14.25" x14ac:dyDescent="0.2"/>
    <row r="62" s="116" customFormat="1" ht="14.25" x14ac:dyDescent="0.2"/>
    <row r="63" s="116" customFormat="1" ht="14.25" x14ac:dyDescent="0.2"/>
    <row r="64" s="116" customFormat="1" ht="14.25" x14ac:dyDescent="0.2"/>
    <row r="65" s="116" customFormat="1" ht="14.25" x14ac:dyDescent="0.2"/>
    <row r="66" s="116" customFormat="1" ht="14.25" x14ac:dyDescent="0.2"/>
    <row r="67" s="116" customFormat="1" ht="14.25" x14ac:dyDescent="0.2"/>
    <row r="68" s="116" customFormat="1" ht="14.25" x14ac:dyDescent="0.2"/>
    <row r="69" s="116" customFormat="1" ht="14.25" x14ac:dyDescent="0.2"/>
    <row r="70" s="116" customFormat="1" ht="14.25" x14ac:dyDescent="0.2"/>
    <row r="71" s="116" customFormat="1" ht="14.25" x14ac:dyDescent="0.2"/>
    <row r="72" s="116" customFormat="1" ht="14.25" x14ac:dyDescent="0.2"/>
    <row r="73" s="116" customFormat="1" ht="14.25" x14ac:dyDescent="0.2"/>
    <row r="74" s="116" customFormat="1" ht="14.25" x14ac:dyDescent="0.2"/>
    <row r="75" s="116" customFormat="1" ht="14.25" x14ac:dyDescent="0.2"/>
    <row r="76" s="116" customFormat="1" ht="14.25" x14ac:dyDescent="0.2"/>
    <row r="77" s="116" customFormat="1" ht="14.25" x14ac:dyDescent="0.2"/>
    <row r="78" s="116" customFormat="1" ht="14.25" x14ac:dyDescent="0.2"/>
    <row r="79" s="116" customFormat="1" ht="14.25" x14ac:dyDescent="0.2"/>
    <row r="80" s="116" customFormat="1" ht="14.25" x14ac:dyDescent="0.2"/>
    <row r="81" s="116" customFormat="1" ht="14.25" x14ac:dyDescent="0.2"/>
    <row r="82" s="116" customFormat="1" ht="14.25" x14ac:dyDescent="0.2"/>
    <row r="83" s="116" customFormat="1" ht="14.25" x14ac:dyDescent="0.2"/>
    <row r="84" s="116" customFormat="1" ht="14.25" x14ac:dyDescent="0.2"/>
    <row r="85" s="116" customFormat="1" ht="14.25" x14ac:dyDescent="0.2"/>
    <row r="86" s="116" customFormat="1" ht="14.25" x14ac:dyDescent="0.2"/>
    <row r="87" s="116" customFormat="1" ht="14.25" x14ac:dyDescent="0.2"/>
    <row r="88" s="116" customFormat="1" ht="14.25" x14ac:dyDescent="0.2"/>
    <row r="89" s="116" customFormat="1" ht="14.25" x14ac:dyDescent="0.2"/>
    <row r="90" s="116" customFormat="1" ht="14.25" x14ac:dyDescent="0.2"/>
    <row r="91" s="116" customFormat="1" ht="14.25" x14ac:dyDescent="0.2"/>
    <row r="92" s="116" customFormat="1" ht="14.25" x14ac:dyDescent="0.2"/>
    <row r="93" s="116" customFormat="1" ht="14.25" x14ac:dyDescent="0.2"/>
    <row r="94" s="116" customFormat="1" ht="14.25" x14ac:dyDescent="0.2"/>
    <row r="95" s="116" customFormat="1" ht="14.25" x14ac:dyDescent="0.2"/>
    <row r="96" s="116" customFormat="1" ht="14.25" x14ac:dyDescent="0.2"/>
    <row r="97" s="116" customFormat="1" ht="14.25" x14ac:dyDescent="0.2"/>
    <row r="98" s="116" customFormat="1" ht="14.25" x14ac:dyDescent="0.2"/>
    <row r="99" s="116" customFormat="1" ht="14.25" x14ac:dyDescent="0.2"/>
    <row r="100" s="116" customFormat="1" ht="14.25" x14ac:dyDescent="0.2"/>
    <row r="101" s="116" customFormat="1" ht="14.25" x14ac:dyDescent="0.2"/>
    <row r="102" s="116" customFormat="1" ht="14.25" x14ac:dyDescent="0.2"/>
    <row r="103" s="116" customFormat="1" ht="14.25" x14ac:dyDescent="0.2"/>
    <row r="104" s="116" customFormat="1" ht="14.25" x14ac:dyDescent="0.2"/>
    <row r="105" s="116" customFormat="1" ht="14.25" x14ac:dyDescent="0.2"/>
    <row r="106" s="116" customFormat="1" ht="14.25" x14ac:dyDescent="0.2"/>
    <row r="107" s="116" customFormat="1" ht="14.25" x14ac:dyDescent="0.2"/>
    <row r="108" s="116" customFormat="1" ht="14.25" x14ac:dyDescent="0.2"/>
    <row r="109" s="116" customFormat="1" ht="14.25" x14ac:dyDescent="0.2"/>
    <row r="110" s="116" customFormat="1" ht="14.25" x14ac:dyDescent="0.2"/>
    <row r="111" s="116" customFormat="1" ht="14.25" x14ac:dyDescent="0.2"/>
    <row r="112" s="116" customFormat="1" ht="14.25" x14ac:dyDescent="0.2"/>
    <row r="113" s="116" customFormat="1" ht="14.25" x14ac:dyDescent="0.2"/>
    <row r="114" s="116" customFormat="1" ht="14.25" x14ac:dyDescent="0.2"/>
    <row r="115" s="116" customFormat="1" ht="14.25" x14ac:dyDescent="0.2"/>
    <row r="116" s="116" customFormat="1" ht="14.25" x14ac:dyDescent="0.2"/>
    <row r="117" s="116" customFormat="1" ht="14.25" x14ac:dyDescent="0.2"/>
    <row r="118" s="116" customFormat="1" ht="14.25" x14ac:dyDescent="0.2"/>
    <row r="119" s="116" customFormat="1" ht="14.25" x14ac:dyDescent="0.2"/>
    <row r="120" s="116" customFormat="1" ht="14.25" x14ac:dyDescent="0.2"/>
    <row r="121" s="116" customFormat="1" ht="14.25" x14ac:dyDescent="0.2"/>
    <row r="122" s="116" customFormat="1" ht="14.25" x14ac:dyDescent="0.2"/>
    <row r="123" s="116" customFormat="1" ht="14.25" x14ac:dyDescent="0.2"/>
    <row r="124" s="116" customFormat="1" ht="14.25" x14ac:dyDescent="0.2"/>
    <row r="125" s="116" customFormat="1" ht="14.25" x14ac:dyDescent="0.2"/>
    <row r="126" s="116" customFormat="1" ht="14.25" x14ac:dyDescent="0.2"/>
    <row r="127" s="116" customFormat="1" ht="14.25" x14ac:dyDescent="0.2"/>
  </sheetData>
  <mergeCells count="1">
    <mergeCell ref="B9:G9"/>
  </mergeCells>
  <phoneticPr fontId="1" type="noConversion"/>
  <pageMargins left="0.75" right="0.75" top="1" bottom="1" header="0.5" footer="0.5"/>
  <pageSetup paperSize="9" orientation="portrait" horizontalDpi="4294967293" verticalDpi="0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12"/>
  <sheetViews>
    <sheetView zoomScaleNormal="100" workbookViewId="0"/>
  </sheetViews>
  <sheetFormatPr baseColWidth="10" defaultColWidth="9" defaultRowHeight="15" x14ac:dyDescent="0.25"/>
  <cols>
    <col min="1" max="16384" width="9" style="39"/>
  </cols>
  <sheetData>
    <row r="1" spans="1:22" s="15" customFormat="1" x14ac:dyDescent="0.25">
      <c r="A1" s="83" t="s">
        <v>102</v>
      </c>
    </row>
    <row r="2" spans="1:22" s="15" customFormat="1" x14ac:dyDescent="0.25">
      <c r="B2" s="83"/>
    </row>
    <row r="3" spans="1:22" s="15" customFormat="1" x14ac:dyDescent="0.25">
      <c r="B3" s="184" t="s">
        <v>53</v>
      </c>
      <c r="C3" s="184"/>
      <c r="D3" s="184"/>
      <c r="E3" s="184"/>
      <c r="F3" s="184"/>
      <c r="G3" s="184"/>
      <c r="H3" s="87" t="s">
        <v>15</v>
      </c>
    </row>
    <row r="4" spans="1:22" s="109" customFormat="1" x14ac:dyDescent="0.25">
      <c r="A4" s="110"/>
      <c r="B4" s="111">
        <v>0</v>
      </c>
      <c r="C4" s="111">
        <v>1</v>
      </c>
      <c r="D4" s="111">
        <v>2</v>
      </c>
      <c r="E4" s="111">
        <v>3</v>
      </c>
      <c r="F4" s="111">
        <v>4</v>
      </c>
      <c r="G4" s="111">
        <v>5</v>
      </c>
      <c r="H4" s="111" t="s">
        <v>2</v>
      </c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</row>
    <row r="5" spans="1:22" s="104" customFormat="1" x14ac:dyDescent="0.25">
      <c r="A5" s="39" t="s">
        <v>1</v>
      </c>
      <c r="B5" s="112"/>
      <c r="C5" s="112"/>
      <c r="D5" s="112"/>
      <c r="E5" s="112"/>
      <c r="F5" s="112"/>
      <c r="G5" s="112"/>
      <c r="H5" s="107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</row>
    <row r="6" spans="1:22" s="104" customFormat="1" x14ac:dyDescent="0.25">
      <c r="A6" s="39" t="s">
        <v>11</v>
      </c>
      <c r="B6" s="112">
        <f>'Tabell 5.12'!B17</f>
        <v>39.86</v>
      </c>
      <c r="C6" s="112">
        <f>'Tabell 5.12'!C17</f>
        <v>-10</v>
      </c>
      <c r="D6" s="112">
        <f>'Tabell 5.12'!D17</f>
        <v>-9.6</v>
      </c>
      <c r="E6" s="112">
        <f>'Tabell 5.12'!E17</f>
        <v>-9.1999999999999993</v>
      </c>
      <c r="F6" s="112">
        <f>'Tabell 5.12'!F17</f>
        <v>-8.8000000000000007</v>
      </c>
      <c r="G6" s="112">
        <f>'Tabell 5.12'!G17</f>
        <v>-8.4</v>
      </c>
      <c r="H6" s="91">
        <f>IRR(B6:G6)</f>
        <v>5.1308625926921758E-2</v>
      </c>
      <c r="I6" s="108"/>
      <c r="J6" s="108"/>
      <c r="K6" s="108"/>
      <c r="L6" s="108" t="s">
        <v>0</v>
      </c>
      <c r="M6" s="108" t="s">
        <v>0</v>
      </c>
      <c r="N6" s="108"/>
      <c r="O6" s="108"/>
      <c r="P6" s="108"/>
      <c r="Q6" s="108"/>
      <c r="R6" s="108"/>
      <c r="S6" s="108"/>
      <c r="T6" s="108"/>
      <c r="U6" s="108"/>
      <c r="V6" s="108"/>
    </row>
    <row r="7" spans="1:22" s="104" customFormat="1" x14ac:dyDescent="0.25">
      <c r="A7" s="39" t="s">
        <v>1</v>
      </c>
      <c r="B7" s="112"/>
      <c r="C7" s="114"/>
      <c r="D7" s="114"/>
      <c r="E7" s="114"/>
      <c r="F7" s="114"/>
      <c r="G7" s="114"/>
      <c r="H7" s="91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</row>
    <row r="8" spans="1:22" s="104" customFormat="1" ht="15.75" thickBot="1" x14ac:dyDescent="0.3">
      <c r="A8" s="46" t="s">
        <v>13</v>
      </c>
      <c r="B8" s="115">
        <f>'Tabell 5.12'!B20</f>
        <v>39.890799999999999</v>
      </c>
      <c r="C8" s="115">
        <f>'Tabell 5.12'!C20</f>
        <v>-9.56</v>
      </c>
      <c r="D8" s="115">
        <f>'Tabell 5.12'!D20</f>
        <v>-9.2479999999999993</v>
      </c>
      <c r="E8" s="115">
        <f>'Tabell 5.12'!E20</f>
        <v>-8.9359999999999999</v>
      </c>
      <c r="F8" s="115">
        <f>'Tabell 5.12'!F20</f>
        <v>-8.6240000000000006</v>
      </c>
      <c r="G8" s="115">
        <f>'Tabell 5.12'!G20</f>
        <v>-8.3120000000000012</v>
      </c>
      <c r="H8" s="117">
        <f>IRR(B8:G8)</f>
        <v>3.999601877191461E-2</v>
      </c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</row>
    <row r="9" spans="1:22" s="15" customFormat="1" ht="15.75" thickTop="1" x14ac:dyDescent="0.25"/>
    <row r="10" spans="1:22" s="15" customFormat="1" x14ac:dyDescent="0.25"/>
    <row r="11" spans="1:22" s="15" customFormat="1" x14ac:dyDescent="0.25"/>
    <row r="12" spans="1:22" x14ac:dyDescent="0.25">
      <c r="G12" s="39">
        <v>0.78</v>
      </c>
      <c r="H12" s="118">
        <f>H6*G12</f>
        <v>4.0020728222998972E-2</v>
      </c>
    </row>
  </sheetData>
  <mergeCells count="1">
    <mergeCell ref="B3:G3"/>
  </mergeCells>
  <phoneticPr fontId="1" type="noConversion"/>
  <pageMargins left="0.75" right="0.75" top="1" bottom="1" header="0.5" footer="0.5"/>
  <pageSetup paperSize="9" orientation="portrait" horizontalDpi="4294967293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G124"/>
  <sheetViews>
    <sheetView zoomScaleNormal="100" workbookViewId="0"/>
  </sheetViews>
  <sheetFormatPr baseColWidth="10" defaultColWidth="11.42578125" defaultRowHeight="15" outlineLevelRow="1" outlineLevelCol="1" x14ac:dyDescent="0.25"/>
  <cols>
    <col min="1" max="1" width="14.5703125" style="39" customWidth="1"/>
    <col min="2" max="2" width="8.140625" style="39" customWidth="1"/>
    <col min="3" max="4" width="8" style="39" customWidth="1"/>
    <col min="5" max="5" width="12.42578125" style="39" customWidth="1"/>
    <col min="6" max="7" width="7.42578125" style="39" customWidth="1"/>
    <col min="8" max="8" width="7.85546875" style="39" customWidth="1"/>
    <col min="9" max="31" width="11.28515625" style="39" hidden="1" customWidth="1" outlineLevel="1"/>
    <col min="32" max="32" width="11.28515625" style="39" hidden="1" customWidth="1" outlineLevel="1" collapsed="1"/>
    <col min="33" max="33" width="11.42578125" style="39" customWidth="1" collapsed="1"/>
    <col min="34" max="16384" width="11.42578125" style="39"/>
  </cols>
  <sheetData>
    <row r="1" spans="1:26" s="104" customFormat="1" x14ac:dyDescent="0.25">
      <c r="A1" s="83" t="s">
        <v>102</v>
      </c>
      <c r="D1" s="83"/>
    </row>
    <row r="2" spans="1:26" x14ac:dyDescent="0.25">
      <c r="A2" s="39" t="s">
        <v>3</v>
      </c>
      <c r="B2" s="105">
        <v>40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</row>
    <row r="3" spans="1:26" x14ac:dyDescent="0.25">
      <c r="A3" s="39" t="s">
        <v>4</v>
      </c>
      <c r="B3" s="105">
        <v>0.14000000000000001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</row>
    <row r="4" spans="1:26" x14ac:dyDescent="0.25">
      <c r="A4" s="39" t="s">
        <v>6</v>
      </c>
      <c r="B4" s="105">
        <v>0.05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</row>
    <row r="5" spans="1:26" x14ac:dyDescent="0.25">
      <c r="A5" s="39" t="s">
        <v>5</v>
      </c>
      <c r="B5" s="105">
        <v>0.22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</row>
    <row r="6" spans="1:26" s="104" customFormat="1" x14ac:dyDescent="0.25">
      <c r="A6" s="39" t="s">
        <v>14</v>
      </c>
      <c r="B6" s="107">
        <v>5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</row>
    <row r="7" spans="1:26" s="104" customFormat="1" x14ac:dyDescent="0.25"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</row>
    <row r="8" spans="1:26" s="104" customFormat="1" x14ac:dyDescent="0.25">
      <c r="B8" s="186" t="s">
        <v>53</v>
      </c>
      <c r="C8" s="186"/>
      <c r="D8" s="186"/>
      <c r="E8" s="186"/>
      <c r="F8" s="186"/>
      <c r="G8" s="186"/>
      <c r="H8" s="119" t="s">
        <v>15</v>
      </c>
      <c r="I8" s="108"/>
      <c r="J8" s="108"/>
      <c r="K8" s="108"/>
      <c r="L8" s="108"/>
      <c r="M8" s="108" t="s">
        <v>0</v>
      </c>
      <c r="N8" s="108"/>
      <c r="O8" s="108"/>
      <c r="P8" s="108"/>
      <c r="Q8" s="108"/>
      <c r="R8" s="108"/>
      <c r="S8" s="108"/>
      <c r="T8" s="108"/>
      <c r="U8" s="108"/>
      <c r="V8" s="108"/>
    </row>
    <row r="9" spans="1:26" s="109" customFormat="1" x14ac:dyDescent="0.25">
      <c r="A9" s="110"/>
      <c r="B9" s="111">
        <v>0</v>
      </c>
      <c r="C9" s="111">
        <v>1</v>
      </c>
      <c r="D9" s="111">
        <v>2</v>
      </c>
      <c r="E9" s="111">
        <v>3</v>
      </c>
      <c r="F9" s="111">
        <v>4</v>
      </c>
      <c r="G9" s="111">
        <v>5</v>
      </c>
      <c r="H9" s="111" t="s">
        <v>2</v>
      </c>
      <c r="I9" s="106"/>
      <c r="J9" s="106"/>
      <c r="K9" s="106"/>
      <c r="L9" s="106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4"/>
      <c r="X9" s="104"/>
      <c r="Y9" s="104"/>
      <c r="Z9" s="104"/>
    </row>
    <row r="10" spans="1:26" s="104" customFormat="1" x14ac:dyDescent="0.25">
      <c r="A10" s="39" t="s">
        <v>7</v>
      </c>
      <c r="B10" s="112">
        <f>B2</f>
        <v>40</v>
      </c>
      <c r="C10" s="112"/>
      <c r="D10" s="112"/>
      <c r="E10" s="112"/>
      <c r="F10" s="112"/>
      <c r="G10" s="112"/>
      <c r="H10" s="120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</row>
    <row r="11" spans="1:26" s="104" customFormat="1" x14ac:dyDescent="0.25">
      <c r="A11" s="39" t="s">
        <v>8</v>
      </c>
      <c r="B11" s="112">
        <f>B10</f>
        <v>40</v>
      </c>
      <c r="C11" s="112">
        <f>B11+C13</f>
        <v>32</v>
      </c>
      <c r="D11" s="112">
        <f>C11+D13</f>
        <v>24</v>
      </c>
      <c r="E11" s="112">
        <f>D11+E13</f>
        <v>16</v>
      </c>
      <c r="F11" s="112">
        <f>E11+F13</f>
        <v>8</v>
      </c>
      <c r="G11" s="112">
        <f>F11+G13</f>
        <v>0</v>
      </c>
      <c r="H11" s="120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</row>
    <row r="12" spans="1:26" s="104" customFormat="1" x14ac:dyDescent="0.25">
      <c r="A12" s="39" t="s">
        <v>4</v>
      </c>
      <c r="B12" s="112">
        <f>-B3</f>
        <v>-0.14000000000000001</v>
      </c>
      <c r="C12" s="112"/>
      <c r="D12" s="112"/>
      <c r="E12" s="112"/>
      <c r="F12" s="112"/>
      <c r="G12" s="112"/>
      <c r="H12" s="120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</row>
    <row r="13" spans="1:26" s="104" customFormat="1" x14ac:dyDescent="0.25">
      <c r="A13" s="39" t="s">
        <v>9</v>
      </c>
      <c r="B13" s="112"/>
      <c r="C13" s="112">
        <f>-B2/B6</f>
        <v>-8</v>
      </c>
      <c r="D13" s="112">
        <f>C13</f>
        <v>-8</v>
      </c>
      <c r="E13" s="112">
        <f>D13</f>
        <v>-8</v>
      </c>
      <c r="F13" s="112">
        <f>E13</f>
        <v>-8</v>
      </c>
      <c r="G13" s="112">
        <f>F13</f>
        <v>-8</v>
      </c>
      <c r="H13" s="120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</row>
    <row r="14" spans="1:26" s="104" customFormat="1" x14ac:dyDescent="0.25">
      <c r="A14" s="110" t="s">
        <v>10</v>
      </c>
      <c r="B14" s="113">
        <f>-$B$4*B11</f>
        <v>-2</v>
      </c>
      <c r="C14" s="113">
        <f>-$B$4*C11</f>
        <v>-1.6</v>
      </c>
      <c r="D14" s="113">
        <f>-$B$4*D11</f>
        <v>-1.2000000000000002</v>
      </c>
      <c r="E14" s="113">
        <f>-$B$4*E11</f>
        <v>-0.8</v>
      </c>
      <c r="F14" s="113">
        <f>-$B$4*F11</f>
        <v>-0.4</v>
      </c>
      <c r="G14" s="121"/>
      <c r="H14" s="122"/>
      <c r="I14" s="108"/>
      <c r="J14" s="108"/>
      <c r="K14" s="108"/>
      <c r="L14" s="108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</row>
    <row r="15" spans="1:26" s="104" customFormat="1" x14ac:dyDescent="0.25">
      <c r="A15" s="39" t="s">
        <v>1</v>
      </c>
      <c r="B15" s="112"/>
      <c r="C15" s="112"/>
      <c r="D15" s="112"/>
      <c r="E15" s="112"/>
      <c r="F15" s="112"/>
      <c r="G15" s="112"/>
      <c r="H15" s="120"/>
      <c r="I15" s="108"/>
      <c r="J15" s="108"/>
      <c r="K15" s="108"/>
      <c r="L15" s="108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</row>
    <row r="16" spans="1:26" s="104" customFormat="1" x14ac:dyDescent="0.25">
      <c r="A16" s="39" t="s">
        <v>11</v>
      </c>
      <c r="B16" s="112">
        <f>B10+B12+B14</f>
        <v>37.86</v>
      </c>
      <c r="C16" s="112">
        <f>C13+C14</f>
        <v>-9.6</v>
      </c>
      <c r="D16" s="112">
        <f>D13+D14</f>
        <v>-9.1999999999999993</v>
      </c>
      <c r="E16" s="112">
        <f>E13+E14</f>
        <v>-8.8000000000000007</v>
      </c>
      <c r="F16" s="112">
        <f>F13+F14</f>
        <v>-8.4</v>
      </c>
      <c r="G16" s="112">
        <f>G13+G14</f>
        <v>-8</v>
      </c>
      <c r="H16" s="91">
        <f>IRR(B16:G16)</f>
        <v>5.4017095621706313E-2</v>
      </c>
      <c r="I16" s="108"/>
      <c r="J16" s="108"/>
      <c r="K16" s="108"/>
      <c r="L16" s="108" t="s">
        <v>0</v>
      </c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39"/>
      <c r="Y16" s="39"/>
      <c r="Z16" s="39"/>
    </row>
    <row r="17" spans="1:16" s="104" customFormat="1" x14ac:dyDescent="0.25">
      <c r="A17" s="110" t="s">
        <v>12</v>
      </c>
      <c r="B17" s="113">
        <f>(B3*B5)</f>
        <v>3.0800000000000004E-2</v>
      </c>
      <c r="C17" s="113">
        <f>-$B$5*B14</f>
        <v>0.44</v>
      </c>
      <c r="D17" s="113">
        <f>-$B$5*C14</f>
        <v>0.35200000000000004</v>
      </c>
      <c r="E17" s="113">
        <f>-$B$5*D14</f>
        <v>0.26400000000000007</v>
      </c>
      <c r="F17" s="113">
        <f>-$B$5*E14</f>
        <v>0.17600000000000002</v>
      </c>
      <c r="G17" s="113">
        <f>-$B$5*F14</f>
        <v>8.8000000000000009E-2</v>
      </c>
      <c r="H17" s="123"/>
      <c r="I17" s="108"/>
      <c r="J17" s="108"/>
      <c r="K17" s="108"/>
      <c r="L17" s="39"/>
      <c r="M17" s="39"/>
    </row>
    <row r="18" spans="1:16" s="104" customFormat="1" x14ac:dyDescent="0.25">
      <c r="A18" s="39" t="s">
        <v>1</v>
      </c>
      <c r="B18" s="112"/>
      <c r="C18" s="114"/>
      <c r="D18" s="114"/>
      <c r="E18" s="114"/>
      <c r="F18" s="114"/>
      <c r="G18" s="114"/>
      <c r="H18" s="91"/>
      <c r="I18" s="108"/>
      <c r="J18" s="108"/>
      <c r="K18" s="108"/>
      <c r="L18" s="39"/>
      <c r="M18" s="39"/>
    </row>
    <row r="19" spans="1:16" s="104" customFormat="1" ht="15.75" thickBot="1" x14ac:dyDescent="0.3">
      <c r="A19" s="46" t="s">
        <v>13</v>
      </c>
      <c r="B19" s="115">
        <f t="shared" ref="B19:G19" si="0">B16+B17</f>
        <v>37.890799999999999</v>
      </c>
      <c r="C19" s="115">
        <f t="shared" si="0"/>
        <v>-9.16</v>
      </c>
      <c r="D19" s="115">
        <f t="shared" si="0"/>
        <v>-8.847999999999999</v>
      </c>
      <c r="E19" s="115">
        <f t="shared" si="0"/>
        <v>-8.5360000000000014</v>
      </c>
      <c r="F19" s="115">
        <f t="shared" si="0"/>
        <v>-8.2240000000000002</v>
      </c>
      <c r="G19" s="115">
        <f t="shared" si="0"/>
        <v>-7.9119999999999999</v>
      </c>
      <c r="H19" s="124">
        <f>IRR(B19:G19)</f>
        <v>4.2105910574893102E-2</v>
      </c>
      <c r="I19" s="108"/>
      <c r="J19" s="108"/>
      <c r="K19" s="108"/>
      <c r="L19" s="39"/>
      <c r="M19" s="39"/>
    </row>
    <row r="20" spans="1:16" s="104" customFormat="1" ht="15.75" thickTop="1" x14ac:dyDescent="0.25"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39"/>
      <c r="M20" s="39"/>
    </row>
    <row r="21" spans="1:16" s="104" customFormat="1" hidden="1" outlineLevel="1" x14ac:dyDescent="0.25">
      <c r="A21" s="104" t="s">
        <v>41</v>
      </c>
      <c r="B21" s="125">
        <f>B19+NPV(B22,C19:G19)</f>
        <v>-0.53408044422853607</v>
      </c>
      <c r="C21" s="108"/>
      <c r="D21" s="108"/>
      <c r="E21" s="108"/>
      <c r="F21" s="108"/>
      <c r="G21" s="108"/>
      <c r="H21" s="108"/>
      <c r="I21" s="108"/>
      <c r="J21" s="108"/>
      <c r="K21" s="108" t="s">
        <v>0</v>
      </c>
      <c r="L21" s="39"/>
      <c r="M21" s="39"/>
    </row>
    <row r="22" spans="1:16" s="116" customFormat="1" hidden="1" outlineLevel="1" x14ac:dyDescent="0.25">
      <c r="B22" s="116">
        <v>3.6999999999999998E-2</v>
      </c>
      <c r="E22" s="39"/>
      <c r="F22" s="39"/>
      <c r="G22" s="39"/>
      <c r="H22" s="39"/>
      <c r="I22" s="39"/>
      <c r="J22" s="39"/>
      <c r="K22" s="39"/>
      <c r="L22" s="39"/>
      <c r="M22" s="39"/>
      <c r="N22" s="39"/>
    </row>
    <row r="23" spans="1:16" s="116" customFormat="1" hidden="1" outlineLevel="1" x14ac:dyDescent="0.25">
      <c r="E23" s="39"/>
      <c r="F23" s="39"/>
      <c r="G23" s="39"/>
      <c r="H23" s="39"/>
      <c r="I23" s="39"/>
      <c r="J23" s="39"/>
      <c r="K23" s="39"/>
      <c r="L23" s="39"/>
      <c r="M23" s="39"/>
      <c r="N23" s="39"/>
    </row>
    <row r="24" spans="1:16" s="116" customFormat="1" hidden="1" outlineLevel="1" x14ac:dyDescent="0.25">
      <c r="A24" s="126" t="s">
        <v>103</v>
      </c>
      <c r="J24" s="116" t="s">
        <v>0</v>
      </c>
      <c r="L24" s="39"/>
      <c r="M24" s="39"/>
      <c r="N24" s="39"/>
    </row>
    <row r="25" spans="1:16" s="116" customFormat="1" hidden="1" outlineLevel="1" x14ac:dyDescent="0.25">
      <c r="A25" s="39" t="s">
        <v>42</v>
      </c>
      <c r="B25" s="127">
        <v>0.01</v>
      </c>
      <c r="C25" s="39"/>
      <c r="D25" s="39"/>
      <c r="E25" s="39"/>
      <c r="F25" s="39"/>
      <c r="G25" s="39"/>
      <c r="H25" s="39"/>
      <c r="L25" s="39"/>
      <c r="M25" s="39"/>
      <c r="N25" s="39"/>
    </row>
    <row r="26" spans="1:16" s="116" customFormat="1" hidden="1" outlineLevel="1" x14ac:dyDescent="0.25">
      <c r="A26" s="39" t="s">
        <v>9</v>
      </c>
      <c r="B26" s="83">
        <f>B2/(B6*4)</f>
        <v>2</v>
      </c>
      <c r="C26" s="39"/>
      <c r="D26" s="39"/>
      <c r="E26" s="39"/>
      <c r="F26" s="39"/>
      <c r="G26" s="39"/>
      <c r="H26" s="39"/>
      <c r="L26" s="39"/>
      <c r="M26" s="39"/>
      <c r="N26" s="39"/>
    </row>
    <row r="27" spans="1:16" s="116" customFormat="1" hidden="1" outlineLevel="1" x14ac:dyDescent="0.25">
      <c r="A27" s="104"/>
      <c r="B27" s="108"/>
      <c r="C27" s="108"/>
      <c r="D27" s="108"/>
      <c r="E27" s="108"/>
      <c r="F27" s="108"/>
      <c r="G27" s="108"/>
      <c r="H27" s="39"/>
      <c r="L27" s="39"/>
      <c r="M27" s="39"/>
      <c r="N27" s="39"/>
    </row>
    <row r="28" spans="1:16" s="116" customFormat="1" hidden="1" outlineLevel="1" x14ac:dyDescent="0.25">
      <c r="A28" s="110"/>
      <c r="B28" s="128">
        <v>0</v>
      </c>
      <c r="C28" s="128">
        <v>1</v>
      </c>
      <c r="D28" s="128">
        <v>2</v>
      </c>
      <c r="E28" s="128">
        <v>3</v>
      </c>
      <c r="F28" s="128">
        <v>4</v>
      </c>
      <c r="G28" s="128">
        <v>5</v>
      </c>
      <c r="H28" s="128">
        <v>6</v>
      </c>
      <c r="I28" s="128">
        <v>7</v>
      </c>
      <c r="J28" s="128">
        <v>8</v>
      </c>
      <c r="K28" s="128">
        <v>9</v>
      </c>
      <c r="L28" s="39"/>
      <c r="M28" s="39"/>
      <c r="N28" s="39"/>
    </row>
    <row r="29" spans="1:16" s="116" customFormat="1" hidden="1" outlineLevel="1" x14ac:dyDescent="0.25">
      <c r="A29" s="39" t="s">
        <v>7</v>
      </c>
      <c r="B29" s="129">
        <f>B2</f>
        <v>40</v>
      </c>
      <c r="C29" s="129"/>
      <c r="D29" s="129"/>
      <c r="E29" s="129"/>
      <c r="F29" s="129"/>
      <c r="G29" s="129"/>
      <c r="H29" s="39"/>
      <c r="L29" s="39"/>
      <c r="M29" s="39"/>
      <c r="N29" s="39"/>
    </row>
    <row r="30" spans="1:16" s="116" customFormat="1" hidden="1" outlineLevel="1" x14ac:dyDescent="0.25">
      <c r="A30" s="39" t="s">
        <v>8</v>
      </c>
      <c r="B30" s="129">
        <f>B29</f>
        <v>40</v>
      </c>
      <c r="C30" s="129">
        <f t="shared" ref="C30:K30" si="1">B30-C31</f>
        <v>38</v>
      </c>
      <c r="D30" s="129">
        <f t="shared" si="1"/>
        <v>36</v>
      </c>
      <c r="E30" s="129">
        <f t="shared" si="1"/>
        <v>34</v>
      </c>
      <c r="F30" s="129">
        <f t="shared" si="1"/>
        <v>32</v>
      </c>
      <c r="G30" s="129">
        <f t="shared" si="1"/>
        <v>30</v>
      </c>
      <c r="H30" s="129">
        <f t="shared" si="1"/>
        <v>28</v>
      </c>
      <c r="I30" s="129">
        <f t="shared" si="1"/>
        <v>26</v>
      </c>
      <c r="J30" s="129">
        <f t="shared" si="1"/>
        <v>24</v>
      </c>
      <c r="K30" s="129">
        <f t="shared" si="1"/>
        <v>22</v>
      </c>
      <c r="N30" s="39"/>
    </row>
    <row r="31" spans="1:16" s="116" customFormat="1" hidden="1" outlineLevel="1" x14ac:dyDescent="0.25">
      <c r="A31" s="39" t="s">
        <v>9</v>
      </c>
      <c r="B31" s="129"/>
      <c r="C31" s="129">
        <f>B26</f>
        <v>2</v>
      </c>
      <c r="D31" s="129">
        <f t="shared" ref="D31:K31" si="2">C31</f>
        <v>2</v>
      </c>
      <c r="E31" s="129">
        <f t="shared" si="2"/>
        <v>2</v>
      </c>
      <c r="F31" s="129">
        <f t="shared" si="2"/>
        <v>2</v>
      </c>
      <c r="G31" s="129">
        <f t="shared" si="2"/>
        <v>2</v>
      </c>
      <c r="H31" s="129">
        <f t="shared" si="2"/>
        <v>2</v>
      </c>
      <c r="I31" s="129">
        <f t="shared" si="2"/>
        <v>2</v>
      </c>
      <c r="J31" s="129">
        <f t="shared" si="2"/>
        <v>2</v>
      </c>
      <c r="K31" s="129">
        <f t="shared" si="2"/>
        <v>2</v>
      </c>
      <c r="N31" s="39"/>
      <c r="P31" s="116" t="s">
        <v>0</v>
      </c>
    </row>
    <row r="32" spans="1:16" s="116" customFormat="1" hidden="1" outlineLevel="1" x14ac:dyDescent="0.25">
      <c r="A32" s="39" t="s">
        <v>43</v>
      </c>
      <c r="B32" s="129"/>
      <c r="C32" s="129">
        <f t="shared" ref="C32:K32" si="3">$B$25*B30</f>
        <v>0.4</v>
      </c>
      <c r="D32" s="129">
        <f t="shared" si="3"/>
        <v>0.38</v>
      </c>
      <c r="E32" s="129">
        <f t="shared" si="3"/>
        <v>0.36</v>
      </c>
      <c r="F32" s="129">
        <f t="shared" si="3"/>
        <v>0.34</v>
      </c>
      <c r="G32" s="129">
        <f t="shared" si="3"/>
        <v>0.32</v>
      </c>
      <c r="H32" s="129">
        <f t="shared" si="3"/>
        <v>0.3</v>
      </c>
      <c r="I32" s="129">
        <f t="shared" si="3"/>
        <v>0.28000000000000003</v>
      </c>
      <c r="J32" s="129">
        <f t="shared" si="3"/>
        <v>0.26</v>
      </c>
      <c r="K32" s="129">
        <f t="shared" si="3"/>
        <v>0.24</v>
      </c>
      <c r="N32" s="39"/>
    </row>
    <row r="33" spans="1:14" s="116" customFormat="1" hidden="1" outlineLevel="1" x14ac:dyDescent="0.25">
      <c r="A33" s="39"/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N33" s="39"/>
    </row>
    <row r="34" spans="1:14" s="116" customFormat="1" hidden="1" outlineLevel="1" x14ac:dyDescent="0.25">
      <c r="A34" s="39" t="s">
        <v>1</v>
      </c>
      <c r="B34" s="130">
        <f>B29</f>
        <v>40</v>
      </c>
      <c r="C34" s="130">
        <f t="shared" ref="C34:K34" si="4">-C31-C32</f>
        <v>-2.4</v>
      </c>
      <c r="D34" s="130">
        <f t="shared" si="4"/>
        <v>-2.38</v>
      </c>
      <c r="E34" s="130">
        <f t="shared" si="4"/>
        <v>-2.36</v>
      </c>
      <c r="F34" s="130">
        <f t="shared" si="4"/>
        <v>-2.34</v>
      </c>
      <c r="G34" s="130">
        <f t="shared" si="4"/>
        <v>-2.3199999999999998</v>
      </c>
      <c r="H34" s="130">
        <f t="shared" si="4"/>
        <v>-2.2999999999999998</v>
      </c>
      <c r="I34" s="130">
        <f t="shared" si="4"/>
        <v>-2.2800000000000002</v>
      </c>
      <c r="J34" s="130">
        <f t="shared" si="4"/>
        <v>-2.2599999999999998</v>
      </c>
      <c r="K34" s="130">
        <f t="shared" si="4"/>
        <v>-2.2400000000000002</v>
      </c>
      <c r="N34" s="39"/>
    </row>
    <row r="35" spans="1:14" s="116" customFormat="1" hidden="1" outlineLevel="1" x14ac:dyDescent="0.25">
      <c r="A35" s="39"/>
      <c r="B35" s="39"/>
      <c r="C35" s="39"/>
      <c r="D35" s="39"/>
      <c r="E35" s="39"/>
      <c r="F35" s="39"/>
      <c r="G35" s="39"/>
      <c r="H35" s="39"/>
      <c r="N35" s="39"/>
    </row>
    <row r="36" spans="1:14" s="116" customFormat="1" hidden="1" outlineLevel="1" x14ac:dyDescent="0.25">
      <c r="A36" s="39" t="s">
        <v>44</v>
      </c>
      <c r="B36" s="116">
        <v>3.6999999999999998E-2</v>
      </c>
      <c r="D36" s="116" t="s">
        <v>46</v>
      </c>
      <c r="N36" s="39"/>
    </row>
    <row r="37" spans="1:14" s="116" customFormat="1" hidden="1" outlineLevel="1" x14ac:dyDescent="0.25">
      <c r="A37" s="39" t="s">
        <v>45</v>
      </c>
      <c r="B37" s="116">
        <f>((1+B36)^0.25)-1</f>
        <v>9.1243577716659807E-3</v>
      </c>
      <c r="N37" s="39"/>
    </row>
    <row r="38" spans="1:14" s="116" customFormat="1" ht="14.25" hidden="1" outlineLevel="1" x14ac:dyDescent="0.2"/>
    <row r="39" spans="1:14" s="116" customFormat="1" hidden="1" outlineLevel="1" x14ac:dyDescent="0.25">
      <c r="A39" s="39" t="s">
        <v>104</v>
      </c>
      <c r="B39" s="131">
        <f>B34+NPV(B37,C34:K34)</f>
        <v>20.031148124598044</v>
      </c>
    </row>
    <row r="40" spans="1:14" s="116" customFormat="1" ht="14.25" hidden="1" outlineLevel="1" x14ac:dyDescent="0.2"/>
    <row r="41" spans="1:14" s="116" customFormat="1" ht="14.25" collapsed="1" x14ac:dyDescent="0.2"/>
    <row r="42" spans="1:14" s="116" customFormat="1" ht="14.25" x14ac:dyDescent="0.2"/>
    <row r="43" spans="1:14" s="116" customFormat="1" ht="14.25" x14ac:dyDescent="0.2"/>
    <row r="44" spans="1:14" s="116" customFormat="1" ht="14.25" x14ac:dyDescent="0.2"/>
    <row r="45" spans="1:14" s="116" customFormat="1" ht="14.25" x14ac:dyDescent="0.2"/>
    <row r="46" spans="1:14" s="116" customFormat="1" ht="14.25" x14ac:dyDescent="0.2"/>
    <row r="47" spans="1:14" s="116" customFormat="1" ht="14.25" x14ac:dyDescent="0.2"/>
    <row r="48" spans="1:14" s="116" customFormat="1" ht="14.25" x14ac:dyDescent="0.2"/>
    <row r="49" s="116" customFormat="1" ht="14.25" x14ac:dyDescent="0.2"/>
    <row r="50" s="116" customFormat="1" ht="14.25" x14ac:dyDescent="0.2"/>
    <row r="51" s="116" customFormat="1" ht="14.25" x14ac:dyDescent="0.2"/>
    <row r="52" s="116" customFormat="1" ht="14.25" x14ac:dyDescent="0.2"/>
    <row r="53" s="116" customFormat="1" ht="14.25" x14ac:dyDescent="0.2"/>
    <row r="54" s="116" customFormat="1" ht="14.25" x14ac:dyDescent="0.2"/>
    <row r="55" s="116" customFormat="1" ht="14.25" x14ac:dyDescent="0.2"/>
    <row r="56" s="116" customFormat="1" ht="14.25" x14ac:dyDescent="0.2"/>
    <row r="57" s="116" customFormat="1" ht="14.25" x14ac:dyDescent="0.2"/>
    <row r="58" s="116" customFormat="1" ht="14.25" x14ac:dyDescent="0.2"/>
    <row r="59" s="116" customFormat="1" ht="14.25" x14ac:dyDescent="0.2"/>
    <row r="60" s="116" customFormat="1" ht="14.25" x14ac:dyDescent="0.2"/>
    <row r="61" s="116" customFormat="1" ht="14.25" x14ac:dyDescent="0.2"/>
    <row r="62" s="116" customFormat="1" ht="14.25" x14ac:dyDescent="0.2"/>
    <row r="63" s="116" customFormat="1" ht="14.25" x14ac:dyDescent="0.2"/>
    <row r="64" s="116" customFormat="1" ht="14.25" x14ac:dyDescent="0.2"/>
    <row r="65" s="116" customFormat="1" ht="14.25" x14ac:dyDescent="0.2"/>
    <row r="66" s="116" customFormat="1" ht="14.25" x14ac:dyDescent="0.2"/>
    <row r="67" s="116" customFormat="1" ht="14.25" x14ac:dyDescent="0.2"/>
    <row r="68" s="116" customFormat="1" ht="14.25" x14ac:dyDescent="0.2"/>
    <row r="69" s="116" customFormat="1" ht="14.25" x14ac:dyDescent="0.2"/>
    <row r="70" s="116" customFormat="1" ht="14.25" x14ac:dyDescent="0.2"/>
    <row r="71" s="116" customFormat="1" ht="14.25" x14ac:dyDescent="0.2"/>
    <row r="72" s="116" customFormat="1" ht="14.25" x14ac:dyDescent="0.2"/>
    <row r="73" s="116" customFormat="1" ht="14.25" x14ac:dyDescent="0.2"/>
    <row r="74" s="116" customFormat="1" ht="14.25" x14ac:dyDescent="0.2"/>
    <row r="75" s="116" customFormat="1" ht="14.25" x14ac:dyDescent="0.2"/>
    <row r="76" s="116" customFormat="1" ht="14.25" x14ac:dyDescent="0.2"/>
    <row r="77" s="116" customFormat="1" ht="14.25" x14ac:dyDescent="0.2"/>
    <row r="78" s="116" customFormat="1" ht="14.25" x14ac:dyDescent="0.2"/>
    <row r="79" s="116" customFormat="1" ht="14.25" x14ac:dyDescent="0.2"/>
    <row r="80" s="116" customFormat="1" ht="14.25" x14ac:dyDescent="0.2"/>
    <row r="81" s="116" customFormat="1" ht="14.25" x14ac:dyDescent="0.2"/>
    <row r="82" s="116" customFormat="1" ht="14.25" x14ac:dyDescent="0.2"/>
    <row r="83" s="116" customFormat="1" ht="14.25" x14ac:dyDescent="0.2"/>
    <row r="84" s="116" customFormat="1" ht="14.25" x14ac:dyDescent="0.2"/>
    <row r="85" s="116" customFormat="1" ht="14.25" x14ac:dyDescent="0.2"/>
    <row r="86" s="116" customFormat="1" ht="14.25" x14ac:dyDescent="0.2"/>
    <row r="87" s="116" customFormat="1" ht="14.25" x14ac:dyDescent="0.2"/>
    <row r="88" s="116" customFormat="1" ht="14.25" x14ac:dyDescent="0.2"/>
    <row r="89" s="116" customFormat="1" ht="14.25" x14ac:dyDescent="0.2"/>
    <row r="90" s="116" customFormat="1" ht="14.25" x14ac:dyDescent="0.2"/>
    <row r="91" s="116" customFormat="1" ht="14.25" x14ac:dyDescent="0.2"/>
    <row r="92" s="116" customFormat="1" ht="14.25" x14ac:dyDescent="0.2"/>
    <row r="93" s="116" customFormat="1" ht="14.25" x14ac:dyDescent="0.2"/>
    <row r="94" s="116" customFormat="1" ht="14.25" x14ac:dyDescent="0.2"/>
    <row r="95" s="116" customFormat="1" ht="14.25" x14ac:dyDescent="0.2"/>
    <row r="96" s="116" customFormat="1" ht="14.25" x14ac:dyDescent="0.2"/>
    <row r="97" s="116" customFormat="1" ht="14.25" x14ac:dyDescent="0.2"/>
    <row r="98" s="116" customFormat="1" ht="14.25" x14ac:dyDescent="0.2"/>
    <row r="99" s="116" customFormat="1" ht="14.25" x14ac:dyDescent="0.2"/>
    <row r="100" s="116" customFormat="1" ht="14.25" x14ac:dyDescent="0.2"/>
    <row r="101" s="116" customFormat="1" ht="14.25" x14ac:dyDescent="0.2"/>
    <row r="102" s="116" customFormat="1" ht="14.25" x14ac:dyDescent="0.2"/>
    <row r="103" s="116" customFormat="1" ht="14.25" x14ac:dyDescent="0.2"/>
    <row r="104" s="116" customFormat="1" ht="14.25" x14ac:dyDescent="0.2"/>
    <row r="105" s="116" customFormat="1" ht="14.25" x14ac:dyDescent="0.2"/>
    <row r="106" s="116" customFormat="1" ht="14.25" x14ac:dyDescent="0.2"/>
    <row r="107" s="116" customFormat="1" ht="14.25" x14ac:dyDescent="0.2"/>
    <row r="108" s="116" customFormat="1" ht="14.25" x14ac:dyDescent="0.2"/>
    <row r="109" s="116" customFormat="1" ht="14.25" x14ac:dyDescent="0.2"/>
    <row r="110" s="116" customFormat="1" ht="14.25" x14ac:dyDescent="0.2"/>
    <row r="111" s="116" customFormat="1" ht="14.25" x14ac:dyDescent="0.2"/>
    <row r="112" s="116" customFormat="1" ht="14.25" x14ac:dyDescent="0.2"/>
    <row r="113" spans="13:26" s="116" customFormat="1" ht="14.25" x14ac:dyDescent="0.2"/>
    <row r="114" spans="13:26" s="116" customFormat="1" ht="14.25" x14ac:dyDescent="0.2"/>
    <row r="115" spans="13:26" s="116" customFormat="1" ht="14.25" x14ac:dyDescent="0.2"/>
    <row r="116" spans="13:26" s="116" customFormat="1" x14ac:dyDescent="0.25">
      <c r="M116" s="39"/>
      <c r="N116" s="39"/>
      <c r="O116" s="39"/>
      <c r="P116" s="39"/>
      <c r="Q116" s="39"/>
      <c r="R116" s="39"/>
      <c r="S116" s="39"/>
      <c r="T116" s="39"/>
      <c r="U116" s="39"/>
    </row>
    <row r="117" spans="13:26" s="116" customFormat="1" x14ac:dyDescent="0.25"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</row>
    <row r="118" spans="13:26" s="116" customFormat="1" x14ac:dyDescent="0.25"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</row>
    <row r="119" spans="13:26" s="116" customFormat="1" x14ac:dyDescent="0.25"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</row>
    <row r="120" spans="13:26" s="116" customFormat="1" x14ac:dyDescent="0.25"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</row>
    <row r="121" spans="13:26" s="116" customFormat="1" x14ac:dyDescent="0.25"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</row>
    <row r="122" spans="13:26" s="116" customFormat="1" x14ac:dyDescent="0.25"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</row>
    <row r="123" spans="13:26" s="116" customFormat="1" x14ac:dyDescent="0.25"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</row>
    <row r="124" spans="13:26" s="116" customFormat="1" x14ac:dyDescent="0.25"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</row>
  </sheetData>
  <mergeCells count="1">
    <mergeCell ref="B8:G8"/>
  </mergeCells>
  <phoneticPr fontId="1" type="noConversion"/>
  <pageMargins left="0.75" right="0.75" top="1" bottom="1" header="0.5" footer="0.5"/>
  <pageSetup paperSize="9" orientation="portrait" horizontalDpi="4294967293" verticalDpi="0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2"/>
  <sheetViews>
    <sheetView zoomScaleNormal="100" workbookViewId="0">
      <selection activeCell="A19" sqref="A19:XFD22"/>
    </sheetView>
  </sheetViews>
  <sheetFormatPr baseColWidth="10" defaultColWidth="11.42578125" defaultRowHeight="15" x14ac:dyDescent="0.25"/>
  <cols>
    <col min="1" max="1" width="28.7109375" style="15" customWidth="1"/>
    <col min="2" max="2" width="11.5703125" style="15" bestFit="1" customWidth="1"/>
    <col min="3" max="3" width="13.5703125" style="15" bestFit="1" customWidth="1"/>
    <col min="4" max="4" width="13.85546875" style="15" bestFit="1" customWidth="1"/>
    <col min="5" max="6" width="11.42578125" style="15" customWidth="1"/>
    <col min="7" max="7" width="9.140625" style="15" customWidth="1"/>
    <col min="8" max="16384" width="11.42578125" style="15"/>
  </cols>
  <sheetData>
    <row r="1" spans="1:7" x14ac:dyDescent="0.25">
      <c r="A1" s="83" t="s">
        <v>102</v>
      </c>
    </row>
    <row r="2" spans="1:7" x14ac:dyDescent="0.25">
      <c r="A2" s="83"/>
    </row>
    <row r="3" spans="1:7" x14ac:dyDescent="0.25">
      <c r="A3" s="15" t="s">
        <v>52</v>
      </c>
      <c r="B3" s="16">
        <v>70</v>
      </c>
    </row>
    <row r="4" spans="1:7" x14ac:dyDescent="0.25">
      <c r="A4" s="15" t="s">
        <v>50</v>
      </c>
      <c r="B4" s="132">
        <v>0</v>
      </c>
    </row>
    <row r="5" spans="1:7" x14ac:dyDescent="0.25">
      <c r="A5" s="15" t="s">
        <v>51</v>
      </c>
      <c r="B5" s="132">
        <v>0.04</v>
      </c>
    </row>
    <row r="7" spans="1:7" x14ac:dyDescent="0.25">
      <c r="A7" s="133"/>
      <c r="B7" s="187" t="s">
        <v>53</v>
      </c>
      <c r="C7" s="187"/>
      <c r="D7" s="187"/>
      <c r="E7" s="187"/>
      <c r="F7" s="187"/>
      <c r="G7" s="187"/>
    </row>
    <row r="8" spans="1:7" x14ac:dyDescent="0.25">
      <c r="A8" s="134"/>
      <c r="B8" s="135">
        <v>0</v>
      </c>
      <c r="C8" s="135">
        <v>1</v>
      </c>
      <c r="D8" s="135">
        <v>2</v>
      </c>
      <c r="E8" s="135">
        <v>3</v>
      </c>
      <c r="F8" s="135">
        <v>4</v>
      </c>
      <c r="G8" s="135">
        <v>5</v>
      </c>
    </row>
    <row r="9" spans="1:7" ht="21.75" customHeight="1" x14ac:dyDescent="0.25">
      <c r="A9" s="136" t="s">
        <v>7</v>
      </c>
      <c r="B9" s="137">
        <f>B3</f>
        <v>70</v>
      </c>
      <c r="C9" s="137">
        <f>B9</f>
        <v>70</v>
      </c>
      <c r="D9" s="137">
        <f>C9</f>
        <v>70</v>
      </c>
      <c r="E9" s="137">
        <f>D9</f>
        <v>70</v>
      </c>
      <c r="F9" s="137">
        <f>E9</f>
        <v>70</v>
      </c>
      <c r="G9" s="137">
        <v>0</v>
      </c>
    </row>
    <row r="10" spans="1:7" ht="18" customHeight="1" x14ac:dyDescent="0.25">
      <c r="A10" s="136" t="s">
        <v>47</v>
      </c>
      <c r="B10" s="137">
        <f>B9</f>
        <v>70</v>
      </c>
      <c r="C10" s="137">
        <f>B10+C9</f>
        <v>140</v>
      </c>
      <c r="D10" s="137">
        <f>C10+D9</f>
        <v>210</v>
      </c>
      <c r="E10" s="137">
        <f>D10+E9</f>
        <v>280</v>
      </c>
      <c r="F10" s="137">
        <f>E10+F9</f>
        <v>350</v>
      </c>
      <c r="G10" s="137">
        <f>F10+G9</f>
        <v>350</v>
      </c>
    </row>
    <row r="11" spans="1:7" ht="18.75" customHeight="1" x14ac:dyDescent="0.25">
      <c r="A11" s="136" t="s">
        <v>48</v>
      </c>
      <c r="B11" s="137">
        <f>B10</f>
        <v>70</v>
      </c>
      <c r="C11" s="138">
        <f>(B11*(1+$B$5))+C9</f>
        <v>142.80000000000001</v>
      </c>
      <c r="D11" s="138">
        <f>(C11*(1+$B$5))+D9</f>
        <v>218.51200000000003</v>
      </c>
      <c r="E11" s="138">
        <f>(D11*(1+$B$5))+E9</f>
        <v>297.25248000000005</v>
      </c>
      <c r="F11" s="138">
        <f>(E11*(1+$B$5))+F9</f>
        <v>379.14257920000006</v>
      </c>
      <c r="G11" s="138">
        <f>(F11*(1+$B$5))+G9</f>
        <v>394.30828236800005</v>
      </c>
    </row>
    <row r="12" spans="1:7" ht="15.75" customHeight="1" x14ac:dyDescent="0.25">
      <c r="A12" s="136" t="s">
        <v>49</v>
      </c>
      <c r="B12" s="138">
        <f t="shared" ref="B12:G12" si="0">B11-B10</f>
        <v>0</v>
      </c>
      <c r="C12" s="138">
        <f t="shared" si="0"/>
        <v>2.8000000000000114</v>
      </c>
      <c r="D12" s="138">
        <f t="shared" si="0"/>
        <v>8.5120000000000289</v>
      </c>
      <c r="E12" s="138">
        <f t="shared" si="0"/>
        <v>17.252480000000048</v>
      </c>
      <c r="F12" s="138">
        <f t="shared" si="0"/>
        <v>29.142579200000057</v>
      </c>
      <c r="G12" s="138">
        <f t="shared" si="0"/>
        <v>44.30828236800005</v>
      </c>
    </row>
    <row r="13" spans="1:7" ht="16.5" customHeight="1" thickBot="1" x14ac:dyDescent="0.3">
      <c r="A13" s="139" t="s">
        <v>58</v>
      </c>
      <c r="B13" s="140">
        <f>G12/((1+B5)^5)</f>
        <v>36.418178332206672</v>
      </c>
      <c r="C13" s="141"/>
      <c r="D13" s="141"/>
      <c r="E13" s="139"/>
      <c r="F13" s="141"/>
      <c r="G13" s="141"/>
    </row>
    <row r="14" spans="1:7" ht="15.75" thickTop="1" x14ac:dyDescent="0.25"/>
    <row r="17" spans="1:6" x14ac:dyDescent="0.25">
      <c r="E17" s="142" t="s">
        <v>59</v>
      </c>
      <c r="F17" s="116"/>
    </row>
    <row r="18" spans="1:6" x14ac:dyDescent="0.25">
      <c r="E18" s="143"/>
      <c r="F18" s="144"/>
    </row>
    <row r="19" spans="1:6" x14ac:dyDescent="0.25">
      <c r="E19" s="143"/>
      <c r="F19" s="144"/>
    </row>
    <row r="22" spans="1:6" x14ac:dyDescent="0.25">
      <c r="A22" s="145"/>
    </row>
  </sheetData>
  <mergeCells count="1">
    <mergeCell ref="B7:G7"/>
  </mergeCells>
  <pageMargins left="0.7" right="0.7" top="0.75" bottom="0.75" header="0.3" footer="0.3"/>
  <pageSetup paperSize="9" orientation="portrait" verticalDpi="0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126"/>
  <sheetViews>
    <sheetView topLeftCell="A13" zoomScaleNormal="100" workbookViewId="0">
      <selection activeCell="C6" sqref="C6"/>
    </sheetView>
  </sheetViews>
  <sheetFormatPr baseColWidth="10" defaultColWidth="11.42578125" defaultRowHeight="15" outlineLevelRow="1" x14ac:dyDescent="0.25"/>
  <cols>
    <col min="1" max="1" width="10.28515625" style="39" customWidth="1"/>
    <col min="2" max="2" width="12.42578125" style="39" customWidth="1"/>
    <col min="3" max="12" width="4.85546875" style="39" customWidth="1"/>
    <col min="13" max="13" width="6.5703125" style="39" customWidth="1"/>
    <col min="14" max="14" width="8.28515625" style="119" customWidth="1"/>
    <col min="15" max="15" width="8" style="39" customWidth="1"/>
    <col min="16" max="16" width="7.85546875" style="39" customWidth="1"/>
    <col min="17" max="17" width="8.140625" style="39" customWidth="1"/>
    <col min="18" max="16384" width="11.42578125" style="39"/>
  </cols>
  <sheetData>
    <row r="1" spans="1:21" x14ac:dyDescent="0.25">
      <c r="A1" s="83" t="s">
        <v>102</v>
      </c>
    </row>
    <row r="2" spans="1:21" x14ac:dyDescent="0.25">
      <c r="A2" s="39" t="s">
        <v>3</v>
      </c>
      <c r="B2" s="107">
        <v>2000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1:21" x14ac:dyDescent="0.25">
      <c r="A3" s="39" t="s">
        <v>6</v>
      </c>
      <c r="B3" s="105">
        <v>0.06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</row>
    <row r="4" spans="1:21" x14ac:dyDescent="0.25">
      <c r="A4" s="39" t="s">
        <v>5</v>
      </c>
      <c r="B4" s="105">
        <v>0.22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</row>
    <row r="5" spans="1:21" s="104" customFormat="1" x14ac:dyDescent="0.25">
      <c r="A5" s="39" t="s">
        <v>14</v>
      </c>
      <c r="B5" s="107">
        <v>10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N5" s="146"/>
    </row>
    <row r="6" spans="1:21" s="104" customFormat="1" x14ac:dyDescent="0.25">
      <c r="A6" s="39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N6" s="146"/>
    </row>
    <row r="7" spans="1:21" s="104" customFormat="1" outlineLevel="1" x14ac:dyDescent="0.25">
      <c r="A7" s="39" t="s">
        <v>19</v>
      </c>
      <c r="B7" s="106"/>
      <c r="C7" s="106"/>
      <c r="D7" s="106"/>
      <c r="E7" s="106"/>
      <c r="F7" s="106"/>
      <c r="G7" s="106"/>
      <c r="I7" s="108"/>
      <c r="J7" s="108"/>
      <c r="K7" s="108"/>
      <c r="L7" s="108"/>
      <c r="N7" s="119" t="s">
        <v>15</v>
      </c>
    </row>
    <row r="8" spans="1:21" s="109" customFormat="1" outlineLevel="1" x14ac:dyDescent="0.25">
      <c r="A8" s="110"/>
      <c r="B8" s="111">
        <v>0</v>
      </c>
      <c r="C8" s="111">
        <v>1</v>
      </c>
      <c r="D8" s="111">
        <v>2</v>
      </c>
      <c r="E8" s="111">
        <v>3</v>
      </c>
      <c r="F8" s="111">
        <v>4</v>
      </c>
      <c r="G8" s="111">
        <v>5</v>
      </c>
      <c r="H8" s="111">
        <v>6</v>
      </c>
      <c r="I8" s="111">
        <v>7</v>
      </c>
      <c r="J8" s="111">
        <v>8</v>
      </c>
      <c r="K8" s="111">
        <v>9</v>
      </c>
      <c r="L8" s="111">
        <v>10</v>
      </c>
      <c r="M8" s="147" t="s">
        <v>18</v>
      </c>
      <c r="N8" s="111" t="s">
        <v>2</v>
      </c>
      <c r="O8" s="128"/>
      <c r="P8" s="128"/>
      <c r="Q8" s="128"/>
      <c r="R8" s="128"/>
      <c r="S8" s="128"/>
      <c r="T8" s="128"/>
      <c r="U8" s="128"/>
    </row>
    <row r="9" spans="1:21" s="104" customFormat="1" outlineLevel="1" x14ac:dyDescent="0.25">
      <c r="A9" s="39" t="s">
        <v>7</v>
      </c>
      <c r="B9" s="148">
        <f>B2</f>
        <v>2000</v>
      </c>
      <c r="C9" s="148"/>
      <c r="D9" s="148"/>
      <c r="E9" s="148"/>
      <c r="F9" s="148"/>
      <c r="G9" s="148"/>
      <c r="H9" s="146"/>
      <c r="I9" s="107"/>
      <c r="J9" s="107"/>
      <c r="K9" s="107"/>
      <c r="L9" s="107"/>
      <c r="M9" s="146"/>
      <c r="N9" s="119"/>
    </row>
    <row r="10" spans="1:21" s="104" customFormat="1" outlineLevel="1" x14ac:dyDescent="0.25">
      <c r="A10" s="39" t="s">
        <v>16</v>
      </c>
      <c r="B10" s="148"/>
      <c r="C10" s="148">
        <f>-PMT(B3,B5,B2)</f>
        <v>271.73591644076765</v>
      </c>
      <c r="D10" s="148">
        <f t="shared" ref="D10:L10" si="0">C10</f>
        <v>271.73591644076765</v>
      </c>
      <c r="E10" s="148">
        <f t="shared" si="0"/>
        <v>271.73591644076765</v>
      </c>
      <c r="F10" s="148">
        <f t="shared" si="0"/>
        <v>271.73591644076765</v>
      </c>
      <c r="G10" s="148">
        <f t="shared" si="0"/>
        <v>271.73591644076765</v>
      </c>
      <c r="H10" s="148">
        <f t="shared" si="0"/>
        <v>271.73591644076765</v>
      </c>
      <c r="I10" s="148">
        <f t="shared" si="0"/>
        <v>271.73591644076765</v>
      </c>
      <c r="J10" s="148">
        <f t="shared" si="0"/>
        <v>271.73591644076765</v>
      </c>
      <c r="K10" s="148">
        <f t="shared" si="0"/>
        <v>271.73591644076765</v>
      </c>
      <c r="L10" s="148">
        <f t="shared" si="0"/>
        <v>271.73591644076765</v>
      </c>
      <c r="M10" s="119">
        <f>SUM(C10:L10)</f>
        <v>2717.3591644076764</v>
      </c>
      <c r="N10" s="119"/>
    </row>
    <row r="11" spans="1:21" s="104" customFormat="1" outlineLevel="1" x14ac:dyDescent="0.25">
      <c r="A11" s="39" t="s">
        <v>8</v>
      </c>
      <c r="B11" s="148">
        <f>B9</f>
        <v>2000</v>
      </c>
      <c r="C11" s="148">
        <f t="shared" ref="C11:L11" si="1">B11+C12</f>
        <v>1848.2640835592324</v>
      </c>
      <c r="D11" s="148">
        <f t="shared" si="1"/>
        <v>1687.4240121320186</v>
      </c>
      <c r="E11" s="148">
        <f t="shared" si="1"/>
        <v>1516.933536419172</v>
      </c>
      <c r="F11" s="148">
        <f t="shared" si="1"/>
        <v>1336.2136321635546</v>
      </c>
      <c r="G11" s="148">
        <f t="shared" si="1"/>
        <v>1144.6505336526002</v>
      </c>
      <c r="H11" s="148">
        <f t="shared" si="1"/>
        <v>941.5936492309886</v>
      </c>
      <c r="I11" s="148">
        <f t="shared" si="1"/>
        <v>726.35335174408033</v>
      </c>
      <c r="J11" s="148">
        <f t="shared" si="1"/>
        <v>498.19863640795751</v>
      </c>
      <c r="K11" s="148">
        <f t="shared" si="1"/>
        <v>256.3546381516673</v>
      </c>
      <c r="L11" s="148">
        <f t="shared" si="1"/>
        <v>0</v>
      </c>
      <c r="M11" s="119"/>
      <c r="N11" s="119"/>
    </row>
    <row r="12" spans="1:21" s="104" customFormat="1" outlineLevel="1" x14ac:dyDescent="0.25">
      <c r="A12" s="39" t="s">
        <v>9</v>
      </c>
      <c r="B12" s="148"/>
      <c r="C12" s="148">
        <f t="shared" ref="C12:L12" si="2">-C10-C13</f>
        <v>-151.73591644076765</v>
      </c>
      <c r="D12" s="148">
        <f t="shared" si="2"/>
        <v>-160.84007142721373</v>
      </c>
      <c r="E12" s="148">
        <f t="shared" si="2"/>
        <v>-170.49047571284655</v>
      </c>
      <c r="F12" s="148">
        <f t="shared" si="2"/>
        <v>-180.71990425561734</v>
      </c>
      <c r="G12" s="148">
        <f t="shared" si="2"/>
        <v>-191.56309851095438</v>
      </c>
      <c r="H12" s="148">
        <f t="shared" si="2"/>
        <v>-203.05688442161164</v>
      </c>
      <c r="I12" s="148">
        <f t="shared" si="2"/>
        <v>-215.24029748690833</v>
      </c>
      <c r="J12" s="148">
        <f t="shared" si="2"/>
        <v>-228.15471533612282</v>
      </c>
      <c r="K12" s="148">
        <f t="shared" si="2"/>
        <v>-241.84399825629021</v>
      </c>
      <c r="L12" s="148">
        <f t="shared" si="2"/>
        <v>-256.35463815166759</v>
      </c>
      <c r="M12" s="119">
        <f>SUM(C12:L12)</f>
        <v>-2000</v>
      </c>
      <c r="N12" s="119"/>
    </row>
    <row r="13" spans="1:21" s="104" customFormat="1" outlineLevel="1" x14ac:dyDescent="0.25">
      <c r="A13" s="110" t="s">
        <v>10</v>
      </c>
      <c r="B13" s="149"/>
      <c r="C13" s="149">
        <f t="shared" ref="C13:L13" si="3">-$B$3*B11</f>
        <v>-120</v>
      </c>
      <c r="D13" s="149">
        <f t="shared" si="3"/>
        <v>-110.89584501355394</v>
      </c>
      <c r="E13" s="149">
        <f t="shared" si="3"/>
        <v>-101.24544072792111</v>
      </c>
      <c r="F13" s="149">
        <f t="shared" si="3"/>
        <v>-91.016012185150316</v>
      </c>
      <c r="G13" s="149">
        <f t="shared" si="3"/>
        <v>-80.172817929813277</v>
      </c>
      <c r="H13" s="149">
        <f t="shared" si="3"/>
        <v>-68.679032019156011</v>
      </c>
      <c r="I13" s="149">
        <f t="shared" si="3"/>
        <v>-56.495618953859314</v>
      </c>
      <c r="J13" s="149">
        <f t="shared" si="3"/>
        <v>-43.581201104644819</v>
      </c>
      <c r="K13" s="149">
        <f t="shared" si="3"/>
        <v>-29.891918184477451</v>
      </c>
      <c r="L13" s="149">
        <f t="shared" si="3"/>
        <v>-15.381278289100038</v>
      </c>
      <c r="M13" s="111">
        <f>SUM(C13:L13)</f>
        <v>-717.3591644076763</v>
      </c>
      <c r="N13" s="119"/>
    </row>
    <row r="14" spans="1:21" s="104" customFormat="1" outlineLevel="1" x14ac:dyDescent="0.25">
      <c r="A14" s="39" t="s">
        <v>1</v>
      </c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19"/>
      <c r="N14" s="119"/>
      <c r="R14" s="104" t="s">
        <v>0</v>
      </c>
    </row>
    <row r="15" spans="1:21" s="104" customFormat="1" outlineLevel="1" x14ac:dyDescent="0.25">
      <c r="A15" s="39" t="s">
        <v>11</v>
      </c>
      <c r="B15" s="148">
        <f>B9</f>
        <v>2000</v>
      </c>
      <c r="C15" s="148">
        <f t="shared" ref="C15:L15" si="4">C12+C13</f>
        <v>-271.73591644076765</v>
      </c>
      <c r="D15" s="148">
        <f t="shared" si="4"/>
        <v>-271.73591644076765</v>
      </c>
      <c r="E15" s="148">
        <f t="shared" si="4"/>
        <v>-271.73591644076765</v>
      </c>
      <c r="F15" s="148">
        <f t="shared" si="4"/>
        <v>-271.73591644076765</v>
      </c>
      <c r="G15" s="148">
        <f t="shared" si="4"/>
        <v>-271.73591644076765</v>
      </c>
      <c r="H15" s="148">
        <f t="shared" si="4"/>
        <v>-271.73591644076765</v>
      </c>
      <c r="I15" s="148">
        <f t="shared" si="4"/>
        <v>-271.73591644076765</v>
      </c>
      <c r="J15" s="148">
        <f t="shared" si="4"/>
        <v>-271.73591644076765</v>
      </c>
      <c r="K15" s="148">
        <f t="shared" si="4"/>
        <v>-271.73591644076765</v>
      </c>
      <c r="L15" s="148">
        <f t="shared" si="4"/>
        <v>-271.7359164407676</v>
      </c>
      <c r="M15" s="119">
        <f>SUM(C15:L15)</f>
        <v>-2717.3591644076764</v>
      </c>
      <c r="N15" s="91">
        <f>IRR(B15:L15)</f>
        <v>6.0000000000060671E-2</v>
      </c>
    </row>
    <row r="16" spans="1:21" s="104" customFormat="1" outlineLevel="1" x14ac:dyDescent="0.25">
      <c r="A16" s="110" t="s">
        <v>12</v>
      </c>
      <c r="B16" s="149"/>
      <c r="C16" s="149">
        <f t="shared" ref="C16:L16" si="5">-$B$4*C13</f>
        <v>26.4</v>
      </c>
      <c r="D16" s="149">
        <f t="shared" si="5"/>
        <v>24.397085902981868</v>
      </c>
      <c r="E16" s="149">
        <f t="shared" si="5"/>
        <v>22.273996960142643</v>
      </c>
      <c r="F16" s="149">
        <f t="shared" si="5"/>
        <v>20.02352268073307</v>
      </c>
      <c r="G16" s="149">
        <f t="shared" si="5"/>
        <v>17.63801994455892</v>
      </c>
      <c r="H16" s="149">
        <f t="shared" si="5"/>
        <v>15.109387044214323</v>
      </c>
      <c r="I16" s="149">
        <f t="shared" si="5"/>
        <v>12.429036169849049</v>
      </c>
      <c r="J16" s="149">
        <f t="shared" si="5"/>
        <v>9.5878642430218601</v>
      </c>
      <c r="K16" s="149">
        <f t="shared" si="5"/>
        <v>6.5762220005850391</v>
      </c>
      <c r="L16" s="149">
        <f t="shared" si="5"/>
        <v>3.3838812236020086</v>
      </c>
      <c r="M16" s="111">
        <f>SUM(C16:L16)</f>
        <v>157.81901616968875</v>
      </c>
      <c r="N16" s="91"/>
    </row>
    <row r="17" spans="1:17" s="104" customFormat="1" outlineLevel="1" x14ac:dyDescent="0.25">
      <c r="A17" s="39" t="s">
        <v>1</v>
      </c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19"/>
      <c r="N17" s="91"/>
    </row>
    <row r="18" spans="1:17" s="104" customFormat="1" ht="15.75" outlineLevel="1" thickBot="1" x14ac:dyDescent="0.3">
      <c r="A18" s="46" t="s">
        <v>13</v>
      </c>
      <c r="B18" s="150">
        <f t="shared" ref="B18:G18" si="6">B15+B16</f>
        <v>2000</v>
      </c>
      <c r="C18" s="150">
        <f t="shared" si="6"/>
        <v>-245.33591644076765</v>
      </c>
      <c r="D18" s="150">
        <f t="shared" si="6"/>
        <v>-247.33883053778578</v>
      </c>
      <c r="E18" s="150">
        <f t="shared" si="6"/>
        <v>-249.461919480625</v>
      </c>
      <c r="F18" s="150">
        <f t="shared" si="6"/>
        <v>-251.71239376003459</v>
      </c>
      <c r="G18" s="150">
        <f t="shared" si="6"/>
        <v>-254.09789649620873</v>
      </c>
      <c r="H18" s="150">
        <f>H15+H16</f>
        <v>-256.62652939655334</v>
      </c>
      <c r="I18" s="150">
        <f>I15+I16</f>
        <v>-259.30688027091861</v>
      </c>
      <c r="J18" s="150">
        <f>J15+J16</f>
        <v>-262.14805219774581</v>
      </c>
      <c r="K18" s="150">
        <f>K15+K16</f>
        <v>-265.15969444018259</v>
      </c>
      <c r="L18" s="150">
        <f>L15+L16</f>
        <v>-268.35203521716556</v>
      </c>
      <c r="M18" s="151">
        <f>SUM(C18:L18)</f>
        <v>-2559.5401482379875</v>
      </c>
      <c r="N18" s="124">
        <f>IRR(B18:L18)</f>
        <v>4.6800000004086018E-2</v>
      </c>
    </row>
    <row r="19" spans="1:17" s="104" customFormat="1" ht="15.75" outlineLevel="1" thickTop="1" x14ac:dyDescent="0.25"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19"/>
      <c r="N19" s="146"/>
    </row>
    <row r="20" spans="1:17" s="104" customFormat="1" outlineLevel="1" x14ac:dyDescent="0.25">
      <c r="A20" s="39" t="s">
        <v>105</v>
      </c>
      <c r="B20" s="119"/>
      <c r="C20" s="119"/>
      <c r="D20" s="119"/>
      <c r="E20" s="119"/>
      <c r="F20" s="119"/>
      <c r="G20" s="119"/>
      <c r="H20" s="146"/>
      <c r="I20" s="107"/>
      <c r="J20" s="107"/>
      <c r="K20" s="107"/>
      <c r="L20" s="107"/>
      <c r="M20" s="119"/>
      <c r="N20" s="119" t="s">
        <v>15</v>
      </c>
    </row>
    <row r="21" spans="1:17" s="15" customFormat="1" outlineLevel="1" x14ac:dyDescent="0.25">
      <c r="A21" s="110"/>
      <c r="B21" s="111">
        <v>0</v>
      </c>
      <c r="C21" s="111">
        <v>1</v>
      </c>
      <c r="D21" s="111">
        <v>2</v>
      </c>
      <c r="E21" s="111">
        <v>3</v>
      </c>
      <c r="F21" s="111">
        <v>4</v>
      </c>
      <c r="G21" s="111">
        <v>5</v>
      </c>
      <c r="H21" s="111">
        <v>6</v>
      </c>
      <c r="I21" s="111">
        <v>7</v>
      </c>
      <c r="J21" s="111">
        <v>8</v>
      </c>
      <c r="K21" s="111">
        <v>9</v>
      </c>
      <c r="L21" s="111">
        <v>10</v>
      </c>
      <c r="M21" s="111" t="s">
        <v>18</v>
      </c>
      <c r="N21" s="111" t="s">
        <v>2</v>
      </c>
    </row>
    <row r="22" spans="1:17" s="15" customFormat="1" outlineLevel="1" x14ac:dyDescent="0.25">
      <c r="A22" s="39" t="s">
        <v>7</v>
      </c>
      <c r="B22" s="148">
        <f>B2</f>
        <v>2000</v>
      </c>
      <c r="C22" s="148"/>
      <c r="D22" s="148"/>
      <c r="E22" s="148"/>
      <c r="F22" s="148"/>
      <c r="G22" s="148"/>
      <c r="H22" s="146"/>
      <c r="I22" s="107"/>
      <c r="J22" s="107"/>
      <c r="K22" s="107"/>
      <c r="L22" s="107"/>
      <c r="M22" s="119"/>
      <c r="N22" s="119"/>
    </row>
    <row r="23" spans="1:17" s="15" customFormat="1" outlineLevel="1" x14ac:dyDescent="0.25">
      <c r="A23" s="39" t="s">
        <v>8</v>
      </c>
      <c r="B23" s="148">
        <f>B22</f>
        <v>2000</v>
      </c>
      <c r="C23" s="148">
        <f t="shared" ref="C23:L23" si="7">B23+C24</f>
        <v>1800</v>
      </c>
      <c r="D23" s="148">
        <f t="shared" si="7"/>
        <v>1600</v>
      </c>
      <c r="E23" s="148">
        <f t="shared" si="7"/>
        <v>1400</v>
      </c>
      <c r="F23" s="148">
        <f t="shared" si="7"/>
        <v>1200</v>
      </c>
      <c r="G23" s="148">
        <f t="shared" si="7"/>
        <v>1000</v>
      </c>
      <c r="H23" s="148">
        <f t="shared" si="7"/>
        <v>800</v>
      </c>
      <c r="I23" s="148">
        <f t="shared" si="7"/>
        <v>600</v>
      </c>
      <c r="J23" s="148">
        <f t="shared" si="7"/>
        <v>400</v>
      </c>
      <c r="K23" s="148">
        <f t="shared" si="7"/>
        <v>200</v>
      </c>
      <c r="L23" s="148">
        <f t="shared" si="7"/>
        <v>0</v>
      </c>
      <c r="M23" s="119"/>
      <c r="N23" s="119"/>
      <c r="Q23" s="15" t="s">
        <v>0</v>
      </c>
    </row>
    <row r="24" spans="1:17" s="15" customFormat="1" outlineLevel="1" x14ac:dyDescent="0.25">
      <c r="A24" s="39" t="s">
        <v>9</v>
      </c>
      <c r="B24" s="148"/>
      <c r="C24" s="148">
        <f>-B2/B5</f>
        <v>-200</v>
      </c>
      <c r="D24" s="148">
        <f>C24</f>
        <v>-200</v>
      </c>
      <c r="E24" s="148">
        <f t="shared" ref="E24:L24" si="8">D24</f>
        <v>-200</v>
      </c>
      <c r="F24" s="148">
        <f t="shared" si="8"/>
        <v>-200</v>
      </c>
      <c r="G24" s="148">
        <f t="shared" si="8"/>
        <v>-200</v>
      </c>
      <c r="H24" s="148">
        <f t="shared" si="8"/>
        <v>-200</v>
      </c>
      <c r="I24" s="148">
        <f t="shared" si="8"/>
        <v>-200</v>
      </c>
      <c r="J24" s="148">
        <f t="shared" si="8"/>
        <v>-200</v>
      </c>
      <c r="K24" s="148">
        <f t="shared" si="8"/>
        <v>-200</v>
      </c>
      <c r="L24" s="148">
        <f t="shared" si="8"/>
        <v>-200</v>
      </c>
      <c r="M24" s="119">
        <f>SUM(C24:L24)</f>
        <v>-2000</v>
      </c>
      <c r="N24" s="119"/>
    </row>
    <row r="25" spans="1:17" s="15" customFormat="1" outlineLevel="1" x14ac:dyDescent="0.25">
      <c r="A25" s="110" t="s">
        <v>10</v>
      </c>
      <c r="B25" s="149"/>
      <c r="C25" s="149">
        <f t="shared" ref="C25:L25" si="9">-$B$3*B23</f>
        <v>-120</v>
      </c>
      <c r="D25" s="149">
        <f t="shared" si="9"/>
        <v>-108</v>
      </c>
      <c r="E25" s="149">
        <f t="shared" si="9"/>
        <v>-96</v>
      </c>
      <c r="F25" s="149">
        <f t="shared" si="9"/>
        <v>-84</v>
      </c>
      <c r="G25" s="149">
        <f t="shared" si="9"/>
        <v>-72</v>
      </c>
      <c r="H25" s="149">
        <f t="shared" si="9"/>
        <v>-60</v>
      </c>
      <c r="I25" s="149">
        <f t="shared" si="9"/>
        <v>-48</v>
      </c>
      <c r="J25" s="149">
        <f t="shared" si="9"/>
        <v>-36</v>
      </c>
      <c r="K25" s="149">
        <f t="shared" si="9"/>
        <v>-24</v>
      </c>
      <c r="L25" s="149">
        <f t="shared" si="9"/>
        <v>-12</v>
      </c>
      <c r="M25" s="111">
        <f>SUM(C25:L25)</f>
        <v>-660</v>
      </c>
      <c r="N25" s="119"/>
    </row>
    <row r="26" spans="1:17" s="15" customFormat="1" outlineLevel="1" x14ac:dyDescent="0.25">
      <c r="A26" s="39" t="s">
        <v>1</v>
      </c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19"/>
      <c r="N26" s="119"/>
    </row>
    <row r="27" spans="1:17" s="15" customFormat="1" outlineLevel="1" x14ac:dyDescent="0.25">
      <c r="A27" s="39" t="s">
        <v>11</v>
      </c>
      <c r="B27" s="148">
        <f>B22</f>
        <v>2000</v>
      </c>
      <c r="C27" s="148">
        <f t="shared" ref="C27:L27" si="10">C24+C25</f>
        <v>-320</v>
      </c>
      <c r="D27" s="148">
        <f t="shared" si="10"/>
        <v>-308</v>
      </c>
      <c r="E27" s="148">
        <f t="shared" si="10"/>
        <v>-296</v>
      </c>
      <c r="F27" s="148">
        <f t="shared" si="10"/>
        <v>-284</v>
      </c>
      <c r="G27" s="148">
        <f t="shared" si="10"/>
        <v>-272</v>
      </c>
      <c r="H27" s="148">
        <f t="shared" si="10"/>
        <v>-260</v>
      </c>
      <c r="I27" s="148">
        <f t="shared" si="10"/>
        <v>-248</v>
      </c>
      <c r="J27" s="148">
        <f t="shared" si="10"/>
        <v>-236</v>
      </c>
      <c r="K27" s="148">
        <f t="shared" si="10"/>
        <v>-224</v>
      </c>
      <c r="L27" s="148">
        <f t="shared" si="10"/>
        <v>-212</v>
      </c>
      <c r="M27" s="119">
        <f>SUM(C27:L27)</f>
        <v>-2660</v>
      </c>
      <c r="N27" s="91">
        <f>IRR(B27:L27)</f>
        <v>6.0000000000029807E-2</v>
      </c>
    </row>
    <row r="28" spans="1:17" s="15" customFormat="1" outlineLevel="1" x14ac:dyDescent="0.25">
      <c r="A28" s="110" t="s">
        <v>12</v>
      </c>
      <c r="B28" s="149"/>
      <c r="C28" s="149">
        <f t="shared" ref="C28:L28" si="11">-$B$4*C25</f>
        <v>26.4</v>
      </c>
      <c r="D28" s="149">
        <f t="shared" si="11"/>
        <v>23.76</v>
      </c>
      <c r="E28" s="149">
        <f t="shared" si="11"/>
        <v>21.12</v>
      </c>
      <c r="F28" s="149">
        <f t="shared" si="11"/>
        <v>18.48</v>
      </c>
      <c r="G28" s="149">
        <f t="shared" si="11"/>
        <v>15.84</v>
      </c>
      <c r="H28" s="149">
        <f t="shared" si="11"/>
        <v>13.2</v>
      </c>
      <c r="I28" s="149">
        <f t="shared" si="11"/>
        <v>10.56</v>
      </c>
      <c r="J28" s="149">
        <f t="shared" si="11"/>
        <v>7.92</v>
      </c>
      <c r="K28" s="149">
        <f t="shared" si="11"/>
        <v>5.28</v>
      </c>
      <c r="L28" s="149">
        <f t="shared" si="11"/>
        <v>2.64</v>
      </c>
      <c r="M28" s="111">
        <f>SUM(C28:L28)</f>
        <v>145.19999999999999</v>
      </c>
      <c r="N28" s="91"/>
    </row>
    <row r="29" spans="1:17" s="15" customFormat="1" outlineLevel="1" x14ac:dyDescent="0.25">
      <c r="A29" s="39" t="s">
        <v>1</v>
      </c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19"/>
      <c r="N29" s="91"/>
    </row>
    <row r="30" spans="1:17" s="15" customFormat="1" ht="15.75" outlineLevel="1" thickBot="1" x14ac:dyDescent="0.3">
      <c r="A30" s="46" t="s">
        <v>13</v>
      </c>
      <c r="B30" s="150">
        <f t="shared" ref="B30:L30" si="12">B27+B28</f>
        <v>2000</v>
      </c>
      <c r="C30" s="150">
        <f t="shared" si="12"/>
        <v>-293.60000000000002</v>
      </c>
      <c r="D30" s="150">
        <f t="shared" si="12"/>
        <v>-284.24</v>
      </c>
      <c r="E30" s="150">
        <f t="shared" si="12"/>
        <v>-274.88</v>
      </c>
      <c r="F30" s="150">
        <f t="shared" si="12"/>
        <v>-265.52</v>
      </c>
      <c r="G30" s="150">
        <f t="shared" si="12"/>
        <v>-256.16000000000003</v>
      </c>
      <c r="H30" s="150">
        <f t="shared" si="12"/>
        <v>-246.8</v>
      </c>
      <c r="I30" s="150">
        <f t="shared" si="12"/>
        <v>-237.44</v>
      </c>
      <c r="J30" s="150">
        <f t="shared" si="12"/>
        <v>-228.08</v>
      </c>
      <c r="K30" s="150">
        <f t="shared" si="12"/>
        <v>-218.72</v>
      </c>
      <c r="L30" s="150">
        <f t="shared" si="12"/>
        <v>-209.36</v>
      </c>
      <c r="M30" s="151">
        <f>SUM(C30:L30)</f>
        <v>-2514.8000000000002</v>
      </c>
      <c r="N30" s="124">
        <f>IRR(B30:L30)</f>
        <v>4.6800000001987474E-2</v>
      </c>
    </row>
    <row r="31" spans="1:17" s="15" customFormat="1" ht="15.75" thickTop="1" x14ac:dyDescent="0.25">
      <c r="A31" s="39"/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6"/>
      <c r="N31" s="91"/>
    </row>
    <row r="32" spans="1:17" s="15" customFormat="1" x14ac:dyDescent="0.25">
      <c r="B32" s="87"/>
      <c r="C32" s="184" t="s">
        <v>53</v>
      </c>
      <c r="D32" s="184"/>
      <c r="E32" s="184"/>
      <c r="F32" s="184"/>
      <c r="G32" s="184"/>
      <c r="H32" s="184"/>
      <c r="I32" s="184"/>
      <c r="J32" s="184"/>
      <c r="K32" s="184"/>
      <c r="L32" s="184"/>
      <c r="M32" s="87"/>
      <c r="N32" s="87"/>
    </row>
    <row r="33" spans="1:16" s="15" customFormat="1" x14ac:dyDescent="0.25">
      <c r="A33" s="39"/>
      <c r="B33" s="47"/>
      <c r="C33" s="111">
        <v>1</v>
      </c>
      <c r="D33" s="111">
        <v>2</v>
      </c>
      <c r="E33" s="111">
        <v>3</v>
      </c>
      <c r="F33" s="111">
        <v>4</v>
      </c>
      <c r="G33" s="111">
        <v>5</v>
      </c>
      <c r="H33" s="111">
        <v>6</v>
      </c>
      <c r="I33" s="111">
        <v>7</v>
      </c>
      <c r="J33" s="111">
        <v>8</v>
      </c>
      <c r="K33" s="111">
        <v>9</v>
      </c>
      <c r="L33" s="111">
        <v>10</v>
      </c>
      <c r="M33" s="111" t="s">
        <v>18</v>
      </c>
      <c r="N33" s="87"/>
    </row>
    <row r="34" spans="1:16" s="15" customFormat="1" x14ac:dyDescent="0.25">
      <c r="A34" s="39"/>
      <c r="B34" s="152" t="s">
        <v>9</v>
      </c>
      <c r="C34" s="87" t="s">
        <v>0</v>
      </c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</row>
    <row r="35" spans="1:16" s="15" customFormat="1" x14ac:dyDescent="0.25">
      <c r="A35" s="39"/>
      <c r="B35" s="153" t="s">
        <v>22</v>
      </c>
      <c r="C35" s="119">
        <f t="shared" ref="C35:M35" si="13">-C12:M12</f>
        <v>151.73591644076765</v>
      </c>
      <c r="D35" s="119">
        <f t="shared" si="13"/>
        <v>160.84007142721373</v>
      </c>
      <c r="E35" s="119">
        <f t="shared" si="13"/>
        <v>170.49047571284655</v>
      </c>
      <c r="F35" s="119">
        <f t="shared" si="13"/>
        <v>180.71990425561734</v>
      </c>
      <c r="G35" s="119">
        <f t="shared" si="13"/>
        <v>191.56309851095438</v>
      </c>
      <c r="H35" s="119">
        <f t="shared" si="13"/>
        <v>203.05688442161164</v>
      </c>
      <c r="I35" s="119">
        <f t="shared" si="13"/>
        <v>215.24029748690833</v>
      </c>
      <c r="J35" s="119">
        <f t="shared" si="13"/>
        <v>228.15471533612282</v>
      </c>
      <c r="K35" s="119">
        <f t="shared" si="13"/>
        <v>241.84399825629021</v>
      </c>
      <c r="L35" s="119">
        <f t="shared" si="13"/>
        <v>256.35463815166759</v>
      </c>
      <c r="M35" s="119">
        <f t="shared" si="13"/>
        <v>2000</v>
      </c>
      <c r="N35" s="87"/>
      <c r="O35" s="154"/>
    </row>
    <row r="36" spans="1:16" s="15" customFormat="1" x14ac:dyDescent="0.25">
      <c r="A36" s="39"/>
      <c r="B36" s="155" t="s">
        <v>20</v>
      </c>
      <c r="C36" s="111">
        <f t="shared" ref="C36:M36" si="14">-C24</f>
        <v>200</v>
      </c>
      <c r="D36" s="111">
        <f t="shared" si="14"/>
        <v>200</v>
      </c>
      <c r="E36" s="111">
        <f t="shared" si="14"/>
        <v>200</v>
      </c>
      <c r="F36" s="111">
        <f t="shared" si="14"/>
        <v>200</v>
      </c>
      <c r="G36" s="111">
        <f t="shared" si="14"/>
        <v>200</v>
      </c>
      <c r="H36" s="111">
        <f t="shared" si="14"/>
        <v>200</v>
      </c>
      <c r="I36" s="111">
        <f t="shared" si="14"/>
        <v>200</v>
      </c>
      <c r="J36" s="111">
        <f t="shared" si="14"/>
        <v>200</v>
      </c>
      <c r="K36" s="111">
        <f t="shared" si="14"/>
        <v>200</v>
      </c>
      <c r="L36" s="111">
        <f t="shared" si="14"/>
        <v>200</v>
      </c>
      <c r="M36" s="111">
        <f t="shared" si="14"/>
        <v>2000</v>
      </c>
      <c r="N36" s="87"/>
    </row>
    <row r="37" spans="1:16" s="15" customFormat="1" x14ac:dyDescent="0.25">
      <c r="A37" s="39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</row>
    <row r="38" spans="1:16" s="15" customFormat="1" x14ac:dyDescent="0.25">
      <c r="A38" s="39"/>
      <c r="B38" s="152" t="s">
        <v>10</v>
      </c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87"/>
    </row>
    <row r="39" spans="1:16" s="15" customFormat="1" x14ac:dyDescent="0.25">
      <c r="A39" s="39"/>
      <c r="B39" s="153" t="s">
        <v>22</v>
      </c>
      <c r="C39" s="119">
        <f t="shared" ref="C39:M39" si="15">-C13</f>
        <v>120</v>
      </c>
      <c r="D39" s="119">
        <f t="shared" si="15"/>
        <v>110.89584501355394</v>
      </c>
      <c r="E39" s="119">
        <f t="shared" si="15"/>
        <v>101.24544072792111</v>
      </c>
      <c r="F39" s="119">
        <f t="shared" si="15"/>
        <v>91.016012185150316</v>
      </c>
      <c r="G39" s="119">
        <f t="shared" si="15"/>
        <v>80.172817929813277</v>
      </c>
      <c r="H39" s="119">
        <f t="shared" si="15"/>
        <v>68.679032019156011</v>
      </c>
      <c r="I39" s="119">
        <f t="shared" si="15"/>
        <v>56.495618953859314</v>
      </c>
      <c r="J39" s="119">
        <f t="shared" si="15"/>
        <v>43.581201104644819</v>
      </c>
      <c r="K39" s="119">
        <f t="shared" si="15"/>
        <v>29.891918184477451</v>
      </c>
      <c r="L39" s="119">
        <f t="shared" si="15"/>
        <v>15.381278289100038</v>
      </c>
      <c r="M39" s="119">
        <f t="shared" si="15"/>
        <v>717.3591644076763</v>
      </c>
      <c r="N39" s="87"/>
    </row>
    <row r="40" spans="1:16" s="15" customFormat="1" ht="15.75" thickBot="1" x14ac:dyDescent="0.3">
      <c r="A40" s="39"/>
      <c r="B40" s="156" t="s">
        <v>20</v>
      </c>
      <c r="C40" s="151">
        <f t="shared" ref="C40:M40" si="16">-C25</f>
        <v>120</v>
      </c>
      <c r="D40" s="151">
        <f t="shared" si="16"/>
        <v>108</v>
      </c>
      <c r="E40" s="151">
        <f t="shared" si="16"/>
        <v>96</v>
      </c>
      <c r="F40" s="151">
        <f t="shared" si="16"/>
        <v>84</v>
      </c>
      <c r="G40" s="151">
        <f t="shared" si="16"/>
        <v>72</v>
      </c>
      <c r="H40" s="151">
        <f t="shared" si="16"/>
        <v>60</v>
      </c>
      <c r="I40" s="151">
        <f t="shared" si="16"/>
        <v>48</v>
      </c>
      <c r="J40" s="151">
        <f t="shared" si="16"/>
        <v>36</v>
      </c>
      <c r="K40" s="151">
        <f t="shared" si="16"/>
        <v>24</v>
      </c>
      <c r="L40" s="151">
        <f t="shared" si="16"/>
        <v>12</v>
      </c>
      <c r="M40" s="151">
        <f t="shared" si="16"/>
        <v>660</v>
      </c>
      <c r="N40" s="87"/>
    </row>
    <row r="41" spans="1:16" s="15" customFormat="1" ht="15.75" thickTop="1" x14ac:dyDescent="0.25">
      <c r="N41" s="87"/>
    </row>
    <row r="42" spans="1:16" s="15" customFormat="1" x14ac:dyDescent="0.25">
      <c r="N42" s="87"/>
      <c r="P42" s="15" t="s">
        <v>0</v>
      </c>
    </row>
    <row r="43" spans="1:16" s="15" customFormat="1" x14ac:dyDescent="0.25">
      <c r="F43" s="15" t="s">
        <v>0</v>
      </c>
      <c r="N43" s="87"/>
    </row>
    <row r="44" spans="1:16" s="15" customFormat="1" x14ac:dyDescent="0.25">
      <c r="F44" s="15" t="s">
        <v>0</v>
      </c>
      <c r="N44" s="87"/>
    </row>
    <row r="45" spans="1:16" s="15" customFormat="1" x14ac:dyDescent="0.25">
      <c r="N45" s="87"/>
    </row>
    <row r="46" spans="1:16" s="15" customFormat="1" x14ac:dyDescent="0.25">
      <c r="N46" s="87"/>
    </row>
    <row r="47" spans="1:16" s="15" customFormat="1" x14ac:dyDescent="0.25">
      <c r="N47" s="87"/>
    </row>
    <row r="48" spans="1:16" s="15" customFormat="1" x14ac:dyDescent="0.25">
      <c r="N48" s="87"/>
    </row>
    <row r="49" spans="14:14" s="15" customFormat="1" x14ac:dyDescent="0.25">
      <c r="N49" s="87"/>
    </row>
    <row r="50" spans="14:14" s="15" customFormat="1" x14ac:dyDescent="0.25">
      <c r="N50" s="87"/>
    </row>
    <row r="51" spans="14:14" s="15" customFormat="1" x14ac:dyDescent="0.25">
      <c r="N51" s="87"/>
    </row>
    <row r="52" spans="14:14" s="15" customFormat="1" x14ac:dyDescent="0.25">
      <c r="N52" s="87"/>
    </row>
    <row r="53" spans="14:14" s="15" customFormat="1" x14ac:dyDescent="0.25">
      <c r="N53" s="87"/>
    </row>
    <row r="54" spans="14:14" s="15" customFormat="1" x14ac:dyDescent="0.25">
      <c r="N54" s="87"/>
    </row>
    <row r="55" spans="14:14" s="15" customFormat="1" x14ac:dyDescent="0.25">
      <c r="N55" s="87"/>
    </row>
    <row r="56" spans="14:14" s="15" customFormat="1" x14ac:dyDescent="0.25">
      <c r="N56" s="87"/>
    </row>
    <row r="57" spans="14:14" s="15" customFormat="1" x14ac:dyDescent="0.25">
      <c r="N57" s="87"/>
    </row>
    <row r="58" spans="14:14" s="15" customFormat="1" x14ac:dyDescent="0.25">
      <c r="N58" s="87"/>
    </row>
    <row r="59" spans="14:14" s="15" customFormat="1" x14ac:dyDescent="0.25">
      <c r="N59" s="87"/>
    </row>
    <row r="60" spans="14:14" s="15" customFormat="1" x14ac:dyDescent="0.25">
      <c r="N60" s="87"/>
    </row>
    <row r="61" spans="14:14" s="15" customFormat="1" x14ac:dyDescent="0.25">
      <c r="N61" s="87"/>
    </row>
    <row r="62" spans="14:14" s="15" customFormat="1" x14ac:dyDescent="0.25">
      <c r="N62" s="87"/>
    </row>
    <row r="63" spans="14:14" s="15" customFormat="1" x14ac:dyDescent="0.25">
      <c r="N63" s="87"/>
    </row>
    <row r="64" spans="14:14" s="15" customFormat="1" x14ac:dyDescent="0.25">
      <c r="N64" s="87"/>
    </row>
    <row r="65" spans="14:14" s="15" customFormat="1" x14ac:dyDescent="0.25">
      <c r="N65" s="87"/>
    </row>
    <row r="66" spans="14:14" s="15" customFormat="1" x14ac:dyDescent="0.25">
      <c r="N66" s="87"/>
    </row>
    <row r="67" spans="14:14" s="15" customFormat="1" x14ac:dyDescent="0.25">
      <c r="N67" s="87"/>
    </row>
    <row r="68" spans="14:14" s="15" customFormat="1" x14ac:dyDescent="0.25">
      <c r="N68" s="87"/>
    </row>
    <row r="69" spans="14:14" s="15" customFormat="1" x14ac:dyDescent="0.25">
      <c r="N69" s="87"/>
    </row>
    <row r="70" spans="14:14" s="15" customFormat="1" x14ac:dyDescent="0.25">
      <c r="N70" s="87"/>
    </row>
    <row r="71" spans="14:14" s="15" customFormat="1" x14ac:dyDescent="0.25">
      <c r="N71" s="87"/>
    </row>
    <row r="72" spans="14:14" s="15" customFormat="1" x14ac:dyDescent="0.25">
      <c r="N72" s="87"/>
    </row>
    <row r="73" spans="14:14" s="15" customFormat="1" x14ac:dyDescent="0.25">
      <c r="N73" s="87"/>
    </row>
    <row r="74" spans="14:14" s="15" customFormat="1" x14ac:dyDescent="0.25">
      <c r="N74" s="87"/>
    </row>
    <row r="75" spans="14:14" s="15" customFormat="1" x14ac:dyDescent="0.25">
      <c r="N75" s="87"/>
    </row>
    <row r="76" spans="14:14" s="15" customFormat="1" x14ac:dyDescent="0.25">
      <c r="N76" s="87"/>
    </row>
    <row r="77" spans="14:14" s="15" customFormat="1" x14ac:dyDescent="0.25">
      <c r="N77" s="87"/>
    </row>
    <row r="78" spans="14:14" s="15" customFormat="1" x14ac:dyDescent="0.25">
      <c r="N78" s="87"/>
    </row>
    <row r="79" spans="14:14" s="15" customFormat="1" x14ac:dyDescent="0.25">
      <c r="N79" s="87"/>
    </row>
    <row r="80" spans="14:14" s="15" customFormat="1" x14ac:dyDescent="0.25">
      <c r="N80" s="87"/>
    </row>
    <row r="81" spans="14:14" s="15" customFormat="1" x14ac:dyDescent="0.25">
      <c r="N81" s="87"/>
    </row>
    <row r="82" spans="14:14" s="15" customFormat="1" x14ac:dyDescent="0.25">
      <c r="N82" s="87"/>
    </row>
    <row r="83" spans="14:14" s="15" customFormat="1" x14ac:dyDescent="0.25">
      <c r="N83" s="87"/>
    </row>
    <row r="84" spans="14:14" s="15" customFormat="1" x14ac:dyDescent="0.25">
      <c r="N84" s="87"/>
    </row>
    <row r="85" spans="14:14" s="15" customFormat="1" x14ac:dyDescent="0.25">
      <c r="N85" s="87"/>
    </row>
    <row r="86" spans="14:14" s="15" customFormat="1" x14ac:dyDescent="0.25">
      <c r="N86" s="87"/>
    </row>
    <row r="87" spans="14:14" s="15" customFormat="1" x14ac:dyDescent="0.25">
      <c r="N87" s="87"/>
    </row>
    <row r="88" spans="14:14" s="15" customFormat="1" x14ac:dyDescent="0.25">
      <c r="N88" s="87"/>
    </row>
    <row r="89" spans="14:14" s="15" customFormat="1" x14ac:dyDescent="0.25">
      <c r="N89" s="87"/>
    </row>
    <row r="90" spans="14:14" s="15" customFormat="1" x14ac:dyDescent="0.25">
      <c r="N90" s="87"/>
    </row>
    <row r="91" spans="14:14" s="15" customFormat="1" x14ac:dyDescent="0.25">
      <c r="N91" s="87"/>
    </row>
    <row r="92" spans="14:14" s="15" customFormat="1" x14ac:dyDescent="0.25">
      <c r="N92" s="87"/>
    </row>
    <row r="93" spans="14:14" s="15" customFormat="1" x14ac:dyDescent="0.25">
      <c r="N93" s="87"/>
    </row>
    <row r="94" spans="14:14" s="15" customFormat="1" x14ac:dyDescent="0.25">
      <c r="N94" s="87"/>
    </row>
    <row r="95" spans="14:14" s="15" customFormat="1" x14ac:dyDescent="0.25">
      <c r="N95" s="87"/>
    </row>
    <row r="96" spans="14:14" s="15" customFormat="1" x14ac:dyDescent="0.25">
      <c r="N96" s="87"/>
    </row>
    <row r="97" spans="14:14" s="15" customFormat="1" x14ac:dyDescent="0.25">
      <c r="N97" s="87"/>
    </row>
    <row r="98" spans="14:14" s="15" customFormat="1" x14ac:dyDescent="0.25">
      <c r="N98" s="87"/>
    </row>
    <row r="99" spans="14:14" s="15" customFormat="1" x14ac:dyDescent="0.25">
      <c r="N99" s="87"/>
    </row>
    <row r="100" spans="14:14" s="15" customFormat="1" x14ac:dyDescent="0.25">
      <c r="N100" s="87"/>
    </row>
    <row r="101" spans="14:14" s="15" customFormat="1" x14ac:dyDescent="0.25">
      <c r="N101" s="87"/>
    </row>
    <row r="102" spans="14:14" s="15" customFormat="1" x14ac:dyDescent="0.25">
      <c r="N102" s="87"/>
    </row>
    <row r="103" spans="14:14" s="15" customFormat="1" x14ac:dyDescent="0.25">
      <c r="N103" s="87"/>
    </row>
    <row r="104" spans="14:14" s="15" customFormat="1" x14ac:dyDescent="0.25">
      <c r="N104" s="87"/>
    </row>
    <row r="105" spans="14:14" s="15" customFormat="1" x14ac:dyDescent="0.25">
      <c r="N105" s="87"/>
    </row>
    <row r="106" spans="14:14" s="15" customFormat="1" x14ac:dyDescent="0.25">
      <c r="N106" s="87"/>
    </row>
    <row r="107" spans="14:14" s="15" customFormat="1" x14ac:dyDescent="0.25">
      <c r="N107" s="87"/>
    </row>
    <row r="108" spans="14:14" s="15" customFormat="1" x14ac:dyDescent="0.25">
      <c r="N108" s="87"/>
    </row>
    <row r="109" spans="14:14" s="15" customFormat="1" x14ac:dyDescent="0.25">
      <c r="N109" s="87"/>
    </row>
    <row r="110" spans="14:14" s="15" customFormat="1" x14ac:dyDescent="0.25">
      <c r="N110" s="87"/>
    </row>
    <row r="111" spans="14:14" s="15" customFormat="1" x14ac:dyDescent="0.25">
      <c r="N111" s="87"/>
    </row>
    <row r="112" spans="14:14" s="15" customFormat="1" x14ac:dyDescent="0.25">
      <c r="N112" s="87"/>
    </row>
    <row r="113" spans="14:14" s="15" customFormat="1" x14ac:dyDescent="0.25">
      <c r="N113" s="87"/>
    </row>
    <row r="114" spans="14:14" s="15" customFormat="1" x14ac:dyDescent="0.25">
      <c r="N114" s="87"/>
    </row>
    <row r="115" spans="14:14" s="15" customFormat="1" x14ac:dyDescent="0.25">
      <c r="N115" s="87"/>
    </row>
    <row r="116" spans="14:14" s="15" customFormat="1" x14ac:dyDescent="0.25">
      <c r="N116" s="87"/>
    </row>
    <row r="117" spans="14:14" s="15" customFormat="1" x14ac:dyDescent="0.25">
      <c r="N117" s="87"/>
    </row>
    <row r="118" spans="14:14" s="15" customFormat="1" x14ac:dyDescent="0.25">
      <c r="N118" s="87"/>
    </row>
    <row r="119" spans="14:14" s="15" customFormat="1" x14ac:dyDescent="0.25">
      <c r="N119" s="87"/>
    </row>
    <row r="120" spans="14:14" s="15" customFormat="1" x14ac:dyDescent="0.25">
      <c r="N120" s="87"/>
    </row>
    <row r="121" spans="14:14" s="15" customFormat="1" x14ac:dyDescent="0.25">
      <c r="N121" s="87"/>
    </row>
    <row r="122" spans="14:14" s="15" customFormat="1" x14ac:dyDescent="0.25">
      <c r="N122" s="87"/>
    </row>
    <row r="123" spans="14:14" s="15" customFormat="1" x14ac:dyDescent="0.25">
      <c r="N123" s="87"/>
    </row>
    <row r="124" spans="14:14" s="15" customFormat="1" x14ac:dyDescent="0.25">
      <c r="N124" s="87"/>
    </row>
    <row r="125" spans="14:14" s="15" customFormat="1" x14ac:dyDescent="0.25">
      <c r="N125" s="87"/>
    </row>
    <row r="126" spans="14:14" s="15" customFormat="1" x14ac:dyDescent="0.25">
      <c r="N126" s="87"/>
    </row>
  </sheetData>
  <mergeCells count="1">
    <mergeCell ref="C32:L32"/>
  </mergeCells>
  <phoneticPr fontId="1" type="noConversion"/>
  <pageMargins left="0.75" right="0.75" top="1" bottom="1" header="0.5" footer="0.5"/>
  <pageSetup paperSize="9" orientation="portrait" horizontalDpi="4294967293" r:id="rId1"/>
  <headerFooter alignWithMargins="0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18"/>
  <sheetViews>
    <sheetView zoomScaleNormal="100" workbookViewId="0"/>
  </sheetViews>
  <sheetFormatPr baseColWidth="10" defaultColWidth="11.42578125" defaultRowHeight="15.75" outlineLevelCol="1" x14ac:dyDescent="0.25"/>
  <cols>
    <col min="1" max="1" width="9.28515625" style="4" customWidth="1"/>
    <col min="2" max="2" width="9.85546875" style="4" customWidth="1"/>
    <col min="3" max="4" width="7.7109375" style="4" customWidth="1"/>
    <col min="5" max="5" width="9.7109375" style="4" customWidth="1" outlineLevel="1"/>
    <col min="6" max="9" width="7.7109375" style="4" customWidth="1" outlineLevel="1"/>
    <col min="10" max="12" width="7.7109375" style="4" customWidth="1"/>
    <col min="13" max="13" width="9.5703125" style="4" customWidth="1"/>
    <col min="14" max="14" width="9.7109375" style="4" customWidth="1"/>
    <col min="15" max="16" width="11.42578125" style="4" customWidth="1"/>
    <col min="17" max="17" width="16.42578125" style="4" customWidth="1"/>
    <col min="18" max="16384" width="11.42578125" style="4"/>
  </cols>
  <sheetData>
    <row r="1" spans="1:14" x14ac:dyDescent="0.25">
      <c r="A1" s="2" t="s">
        <v>102</v>
      </c>
    </row>
    <row r="2" spans="1:14" x14ac:dyDescent="0.25">
      <c r="A2" s="2"/>
    </row>
    <row r="3" spans="1:14" x14ac:dyDescent="0.25">
      <c r="A3" s="4" t="s">
        <v>106</v>
      </c>
      <c r="C3" s="17">
        <v>200</v>
      </c>
    </row>
    <row r="4" spans="1:14" x14ac:dyDescent="0.25">
      <c r="A4" s="4" t="s">
        <v>51</v>
      </c>
      <c r="C4" s="17">
        <v>7.0000000000000007E-2</v>
      </c>
    </row>
    <row r="5" spans="1:14" x14ac:dyDescent="0.25">
      <c r="B5" s="188" t="s">
        <v>53</v>
      </c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</row>
    <row r="6" spans="1:14" x14ac:dyDescent="0.25">
      <c r="B6" s="11">
        <v>0</v>
      </c>
      <c r="C6" s="11">
        <v>1</v>
      </c>
      <c r="D6" s="11">
        <v>2</v>
      </c>
      <c r="E6" s="11">
        <v>3</v>
      </c>
      <c r="F6" s="11">
        <v>4</v>
      </c>
      <c r="G6" s="11">
        <v>5</v>
      </c>
      <c r="H6" s="11">
        <v>6</v>
      </c>
      <c r="I6" s="11">
        <v>7</v>
      </c>
      <c r="J6" s="6" t="s">
        <v>78</v>
      </c>
      <c r="K6" s="11">
        <v>8</v>
      </c>
      <c r="L6" s="11">
        <v>9</v>
      </c>
      <c r="M6" s="11">
        <v>10</v>
      </c>
    </row>
    <row r="7" spans="1:14" x14ac:dyDescent="0.25">
      <c r="A7" s="189" t="s">
        <v>79</v>
      </c>
      <c r="B7" s="189" t="s">
        <v>80</v>
      </c>
      <c r="J7" s="13"/>
      <c r="M7" s="189" t="s">
        <v>54</v>
      </c>
      <c r="N7" s="189" t="s">
        <v>55</v>
      </c>
    </row>
    <row r="8" spans="1:14" x14ac:dyDescent="0.25">
      <c r="A8" s="190"/>
      <c r="B8" s="190"/>
      <c r="C8" s="6" t="s">
        <v>10</v>
      </c>
      <c r="D8" s="6" t="s">
        <v>10</v>
      </c>
      <c r="E8" s="6" t="s">
        <v>10</v>
      </c>
      <c r="F8" s="6" t="s">
        <v>10</v>
      </c>
      <c r="G8" s="6" t="s">
        <v>10</v>
      </c>
      <c r="H8" s="6" t="s">
        <v>10</v>
      </c>
      <c r="I8" s="6" t="s">
        <v>10</v>
      </c>
      <c r="J8" s="6" t="s">
        <v>78</v>
      </c>
      <c r="K8" s="6" t="s">
        <v>10</v>
      </c>
      <c r="L8" s="6" t="s">
        <v>10</v>
      </c>
      <c r="M8" s="190"/>
      <c r="N8" s="190"/>
    </row>
    <row r="9" spans="1:14" x14ac:dyDescent="0.25">
      <c r="A9" s="42">
        <v>0</v>
      </c>
      <c r="B9" s="5">
        <f>NPV($C$4,C9:M9)</f>
        <v>101.66985842694351</v>
      </c>
      <c r="C9" s="4">
        <f t="shared" ref="C9:D12" si="0">$C$3*$A$9</f>
        <v>0</v>
      </c>
      <c r="D9" s="4">
        <f t="shared" si="0"/>
        <v>0</v>
      </c>
      <c r="E9" s="4">
        <f>$C$3*$A9</f>
        <v>0</v>
      </c>
      <c r="F9" s="4">
        <f t="shared" ref="F9:I12" si="1">$C$3*$A9</f>
        <v>0</v>
      </c>
      <c r="G9" s="4">
        <f t="shared" si="1"/>
        <v>0</v>
      </c>
      <c r="H9" s="4">
        <f t="shared" si="1"/>
        <v>0</v>
      </c>
      <c r="I9" s="4">
        <f t="shared" si="1"/>
        <v>0</v>
      </c>
      <c r="J9" s="13" t="s">
        <v>78</v>
      </c>
      <c r="K9" s="4">
        <f t="shared" ref="K9:L12" si="2">$C$3*$A9</f>
        <v>0</v>
      </c>
      <c r="L9" s="4">
        <f t="shared" si="2"/>
        <v>0</v>
      </c>
      <c r="M9" s="4">
        <f>$C$3+L9</f>
        <v>200</v>
      </c>
      <c r="N9" s="7">
        <f>IRR(B14:M14)</f>
        <v>7.000000000045814E-2</v>
      </c>
    </row>
    <row r="10" spans="1:14" x14ac:dyDescent="0.25">
      <c r="A10" s="42">
        <v>0.05</v>
      </c>
      <c r="B10" s="5">
        <f>NPV($C$4,C10:M10)</f>
        <v>153.82549216101404</v>
      </c>
      <c r="C10" s="4">
        <f t="shared" si="0"/>
        <v>0</v>
      </c>
      <c r="D10" s="4">
        <f t="shared" si="0"/>
        <v>0</v>
      </c>
      <c r="E10" s="4">
        <f>$C$3*$A10</f>
        <v>10</v>
      </c>
      <c r="F10" s="4">
        <f t="shared" si="1"/>
        <v>10</v>
      </c>
      <c r="G10" s="4">
        <f t="shared" si="1"/>
        <v>10</v>
      </c>
      <c r="H10" s="4">
        <f t="shared" si="1"/>
        <v>10</v>
      </c>
      <c r="I10" s="4">
        <f t="shared" si="1"/>
        <v>10</v>
      </c>
      <c r="J10" s="13" t="s">
        <v>78</v>
      </c>
      <c r="K10" s="4">
        <f t="shared" si="2"/>
        <v>10</v>
      </c>
      <c r="L10" s="4">
        <f t="shared" si="2"/>
        <v>10</v>
      </c>
      <c r="M10" s="4">
        <f>$C$3+L10</f>
        <v>210</v>
      </c>
      <c r="N10" s="7">
        <f>IRR(B15:M15)</f>
        <v>7.0000000000155049E-2</v>
      </c>
    </row>
    <row r="11" spans="1:14" x14ac:dyDescent="0.25">
      <c r="A11" s="42">
        <v>7.0000000000000007E-2</v>
      </c>
      <c r="B11" s="5">
        <f>NPV($C$4,C11:M11)</f>
        <v>174.68774565464224</v>
      </c>
      <c r="C11" s="4">
        <f t="shared" si="0"/>
        <v>0</v>
      </c>
      <c r="D11" s="4">
        <f t="shared" si="0"/>
        <v>0</v>
      </c>
      <c r="E11" s="4">
        <f>$C$3*$A11</f>
        <v>14.000000000000002</v>
      </c>
      <c r="F11" s="4">
        <f t="shared" si="1"/>
        <v>14.000000000000002</v>
      </c>
      <c r="G11" s="4">
        <f t="shared" si="1"/>
        <v>14.000000000000002</v>
      </c>
      <c r="H11" s="4">
        <f t="shared" si="1"/>
        <v>14.000000000000002</v>
      </c>
      <c r="I11" s="4">
        <f t="shared" si="1"/>
        <v>14.000000000000002</v>
      </c>
      <c r="J11" s="13" t="s">
        <v>78</v>
      </c>
      <c r="K11" s="4">
        <f t="shared" si="2"/>
        <v>14.000000000000002</v>
      </c>
      <c r="L11" s="4">
        <f t="shared" si="2"/>
        <v>14.000000000000002</v>
      </c>
      <c r="M11" s="4">
        <f>$C$3+L11</f>
        <v>214</v>
      </c>
      <c r="N11" s="7">
        <f>IRR(B16:M16)</f>
        <v>7.0000000000113305E-2</v>
      </c>
    </row>
    <row r="12" spans="1:14" ht="16.5" thickBot="1" x14ac:dyDescent="0.3">
      <c r="A12" s="43">
        <v>0.09</v>
      </c>
      <c r="B12" s="9">
        <f>NPV($C$4,C12:M12)</f>
        <v>195.54999914827044</v>
      </c>
      <c r="C12" s="10">
        <f t="shared" si="0"/>
        <v>0</v>
      </c>
      <c r="D12" s="10">
        <f t="shared" si="0"/>
        <v>0</v>
      </c>
      <c r="E12" s="10">
        <f>$C$3*$A12</f>
        <v>18</v>
      </c>
      <c r="F12" s="10">
        <f t="shared" si="1"/>
        <v>18</v>
      </c>
      <c r="G12" s="10">
        <f t="shared" si="1"/>
        <v>18</v>
      </c>
      <c r="H12" s="10">
        <f t="shared" si="1"/>
        <v>18</v>
      </c>
      <c r="I12" s="10">
        <f t="shared" si="1"/>
        <v>18</v>
      </c>
      <c r="J12" s="14" t="s">
        <v>78</v>
      </c>
      <c r="K12" s="10">
        <f t="shared" si="2"/>
        <v>18</v>
      </c>
      <c r="L12" s="10">
        <f t="shared" si="2"/>
        <v>18</v>
      </c>
      <c r="M12" s="10">
        <f>$C$3+L12</f>
        <v>218</v>
      </c>
      <c r="N12" s="8">
        <f>IRR(B17:M17)</f>
        <v>7.000000000008666E-2</v>
      </c>
    </row>
    <row r="13" spans="1:14" ht="16.5" thickTop="1" x14ac:dyDescent="0.25"/>
    <row r="14" spans="1:14" x14ac:dyDescent="0.25">
      <c r="B14" s="5">
        <f>B9</f>
        <v>101.66985842694351</v>
      </c>
      <c r="C14" s="4">
        <f>-C9</f>
        <v>0</v>
      </c>
      <c r="D14" s="4">
        <f t="shared" ref="D14:L14" si="3">-D9</f>
        <v>0</v>
      </c>
      <c r="E14" s="4">
        <f t="shared" si="3"/>
        <v>0</v>
      </c>
      <c r="F14" s="4">
        <f t="shared" si="3"/>
        <v>0</v>
      </c>
      <c r="G14" s="4">
        <f t="shared" si="3"/>
        <v>0</v>
      </c>
      <c r="H14" s="4">
        <f t="shared" si="3"/>
        <v>0</v>
      </c>
      <c r="I14" s="4">
        <f t="shared" si="3"/>
        <v>0</v>
      </c>
      <c r="K14" s="4">
        <f>-K9</f>
        <v>0</v>
      </c>
      <c r="L14" s="4">
        <f t="shared" si="3"/>
        <v>0</v>
      </c>
      <c r="M14" s="4">
        <f>-M9</f>
        <v>-200</v>
      </c>
      <c r="N14" s="7"/>
    </row>
    <row r="15" spans="1:14" x14ac:dyDescent="0.25">
      <c r="B15" s="5">
        <f>B10</f>
        <v>153.82549216101404</v>
      </c>
      <c r="C15" s="4">
        <f>-C10</f>
        <v>0</v>
      </c>
      <c r="D15" s="4">
        <f t="shared" ref="D15:L15" si="4">-D10</f>
        <v>0</v>
      </c>
      <c r="E15" s="4">
        <f t="shared" si="4"/>
        <v>-10</v>
      </c>
      <c r="F15" s="4">
        <f t="shared" si="4"/>
        <v>-10</v>
      </c>
      <c r="G15" s="4">
        <f t="shared" si="4"/>
        <v>-10</v>
      </c>
      <c r="H15" s="4">
        <f t="shared" si="4"/>
        <v>-10</v>
      </c>
      <c r="I15" s="4">
        <f t="shared" si="4"/>
        <v>-10</v>
      </c>
      <c r="K15" s="4">
        <f>-K10</f>
        <v>-10</v>
      </c>
      <c r="L15" s="4">
        <f t="shared" si="4"/>
        <v>-10</v>
      </c>
      <c r="M15" s="4">
        <f>-M10</f>
        <v>-210</v>
      </c>
    </row>
    <row r="16" spans="1:14" x14ac:dyDescent="0.25">
      <c r="B16" s="5">
        <f>B11</f>
        <v>174.68774565464224</v>
      </c>
      <c r="C16" s="4">
        <f>-C11</f>
        <v>0</v>
      </c>
      <c r="D16" s="4">
        <f t="shared" ref="D16:L16" si="5">-D11</f>
        <v>0</v>
      </c>
      <c r="E16" s="4">
        <f t="shared" si="5"/>
        <v>-14.000000000000002</v>
      </c>
      <c r="F16" s="4">
        <f t="shared" si="5"/>
        <v>-14.000000000000002</v>
      </c>
      <c r="G16" s="4">
        <f t="shared" si="5"/>
        <v>-14.000000000000002</v>
      </c>
      <c r="H16" s="4">
        <f t="shared" si="5"/>
        <v>-14.000000000000002</v>
      </c>
      <c r="I16" s="4">
        <f t="shared" si="5"/>
        <v>-14.000000000000002</v>
      </c>
      <c r="K16" s="4">
        <f>-K11</f>
        <v>-14.000000000000002</v>
      </c>
      <c r="L16" s="4">
        <f t="shared" si="5"/>
        <v>-14.000000000000002</v>
      </c>
      <c r="M16" s="4">
        <f>-M11</f>
        <v>-214</v>
      </c>
    </row>
    <row r="17" spans="2:13" x14ac:dyDescent="0.25">
      <c r="B17" s="44">
        <f>B12</f>
        <v>195.54999914827044</v>
      </c>
      <c r="C17" s="11">
        <f>-C12</f>
        <v>0</v>
      </c>
      <c r="D17" s="11">
        <f t="shared" ref="D17:L17" si="6">-D12</f>
        <v>0</v>
      </c>
      <c r="E17" s="11">
        <f t="shared" si="6"/>
        <v>-18</v>
      </c>
      <c r="F17" s="11">
        <f t="shared" si="6"/>
        <v>-18</v>
      </c>
      <c r="G17" s="11">
        <f t="shared" si="6"/>
        <v>-18</v>
      </c>
      <c r="H17" s="11">
        <f t="shared" si="6"/>
        <v>-18</v>
      </c>
      <c r="I17" s="11">
        <f t="shared" si="6"/>
        <v>-18</v>
      </c>
      <c r="J17" s="11"/>
      <c r="K17" s="11">
        <f>-K12</f>
        <v>-18</v>
      </c>
      <c r="L17" s="11">
        <f t="shared" si="6"/>
        <v>-18</v>
      </c>
      <c r="M17" s="11">
        <f>-M12</f>
        <v>-218</v>
      </c>
    </row>
    <row r="18" spans="2:13" x14ac:dyDescent="0.25">
      <c r="D18" s="4" t="s">
        <v>0</v>
      </c>
    </row>
  </sheetData>
  <mergeCells count="5">
    <mergeCell ref="B5:M5"/>
    <mergeCell ref="A7:A8"/>
    <mergeCell ref="B7:B8"/>
    <mergeCell ref="M7:M8"/>
    <mergeCell ref="N7:N8"/>
  </mergeCells>
  <pageMargins left="0.7" right="0.7" top="0.75" bottom="0.75" header="0.3" footer="0.3"/>
  <pageSetup paperSize="9" orientation="portrait" verticalDpi="0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26"/>
  <sheetViews>
    <sheetView zoomScaleNormal="100" workbookViewId="0">
      <selection activeCell="M18" sqref="M18"/>
    </sheetView>
  </sheetViews>
  <sheetFormatPr baseColWidth="10" defaultColWidth="11.42578125" defaultRowHeight="15" x14ac:dyDescent="0.25"/>
  <cols>
    <col min="1" max="1" width="17.140625" style="15" customWidth="1"/>
    <col min="2" max="12" width="7.5703125" style="15" customWidth="1"/>
    <col min="13" max="16384" width="11.42578125" style="15"/>
  </cols>
  <sheetData>
    <row r="1" spans="1:14" x14ac:dyDescent="0.25">
      <c r="A1" s="83" t="s">
        <v>102</v>
      </c>
    </row>
    <row r="3" spans="1:14" ht="16.5" x14ac:dyDescent="0.3">
      <c r="A3" s="15" t="s">
        <v>171</v>
      </c>
      <c r="B3" s="16">
        <v>30</v>
      </c>
    </row>
    <row r="4" spans="1:14" x14ac:dyDescent="0.25">
      <c r="A4" s="15" t="s">
        <v>109</v>
      </c>
      <c r="B4" s="16">
        <v>4</v>
      </c>
    </row>
    <row r="5" spans="1:14" ht="16.5" x14ac:dyDescent="0.3">
      <c r="A5" s="15" t="s">
        <v>172</v>
      </c>
      <c r="B5" s="16">
        <v>0.05</v>
      </c>
    </row>
    <row r="6" spans="1:14" ht="16.5" x14ac:dyDescent="0.3">
      <c r="A6" s="15" t="s">
        <v>173</v>
      </c>
      <c r="B6" s="16">
        <v>0.02</v>
      </c>
    </row>
    <row r="7" spans="1:14" x14ac:dyDescent="0.25">
      <c r="A7" s="15" t="s">
        <v>56</v>
      </c>
      <c r="B7" s="16">
        <v>0.08</v>
      </c>
    </row>
    <row r="8" spans="1:14" x14ac:dyDescent="0.25">
      <c r="B8" s="184" t="s">
        <v>53</v>
      </c>
      <c r="C8" s="184"/>
      <c r="D8" s="184"/>
      <c r="E8" s="184"/>
      <c r="F8" s="184"/>
      <c r="G8" s="184"/>
      <c r="H8" s="184"/>
      <c r="I8" s="184"/>
      <c r="J8" s="184"/>
      <c r="K8" s="184"/>
      <c r="L8" s="184"/>
    </row>
    <row r="9" spans="1:14" x14ac:dyDescent="0.25">
      <c r="A9" s="157"/>
      <c r="B9" s="157">
        <v>0</v>
      </c>
      <c r="C9" s="157">
        <v>1</v>
      </c>
      <c r="D9" s="157">
        <v>2</v>
      </c>
      <c r="E9" s="157">
        <v>3</v>
      </c>
      <c r="F9" s="157">
        <v>4</v>
      </c>
      <c r="G9" s="157">
        <v>5</v>
      </c>
      <c r="H9" s="157">
        <v>6</v>
      </c>
      <c r="I9" s="157">
        <v>7</v>
      </c>
      <c r="J9" s="157">
        <v>8</v>
      </c>
      <c r="K9" s="157">
        <v>9</v>
      </c>
      <c r="L9" s="157">
        <v>10</v>
      </c>
    </row>
    <row r="10" spans="1:14" x14ac:dyDescent="0.25">
      <c r="A10" s="15" t="s">
        <v>61</v>
      </c>
      <c r="C10" s="158">
        <f>B3</f>
        <v>30</v>
      </c>
      <c r="D10" s="158">
        <f>C10*(1+$B$5)</f>
        <v>31.5</v>
      </c>
      <c r="E10" s="158">
        <f>D10*(1+$B$5)</f>
        <v>33.075000000000003</v>
      </c>
      <c r="F10" s="158">
        <f>E10*(1+$B$5)</f>
        <v>34.728750000000005</v>
      </c>
      <c r="G10" s="158">
        <f t="shared" ref="G10:L10" si="0">F10*(1+$B$6)</f>
        <v>35.423325000000006</v>
      </c>
      <c r="H10" s="158">
        <f t="shared" si="0"/>
        <v>36.131791500000006</v>
      </c>
      <c r="I10" s="158">
        <f t="shared" si="0"/>
        <v>36.854427330000007</v>
      </c>
      <c r="J10" s="158">
        <f t="shared" si="0"/>
        <v>37.591515876600006</v>
      </c>
      <c r="K10" s="158">
        <f t="shared" si="0"/>
        <v>38.34334619413201</v>
      </c>
      <c r="L10" s="158">
        <f t="shared" si="0"/>
        <v>39.110213118014649</v>
      </c>
    </row>
    <row r="11" spans="1:14" x14ac:dyDescent="0.25">
      <c r="A11" s="15" t="s">
        <v>91</v>
      </c>
      <c r="C11" s="159">
        <f>1/((1+$B$7)^C9)</f>
        <v>0.92592592592592582</v>
      </c>
      <c r="D11" s="159">
        <f>1/((1+$B$7)^D9)</f>
        <v>0.85733882030178321</v>
      </c>
      <c r="E11" s="159">
        <f>1/((1+$B$7)^E9)</f>
        <v>0.79383224102016958</v>
      </c>
      <c r="F11" s="159">
        <f>1/((1+$B$7)^F9)</f>
        <v>0.73502985279645328</v>
      </c>
    </row>
    <row r="12" spans="1:14" x14ac:dyDescent="0.25">
      <c r="A12" s="15" t="s">
        <v>92</v>
      </c>
      <c r="C12" s="158">
        <f>C10*C11</f>
        <v>27.777777777777775</v>
      </c>
      <c r="D12" s="158">
        <f>D10*D11</f>
        <v>27.006172839506171</v>
      </c>
      <c r="E12" s="158">
        <f>E10*E11</f>
        <v>26.256001371742112</v>
      </c>
      <c r="F12" s="158">
        <f>F10*F11</f>
        <v>25.526668000304831</v>
      </c>
    </row>
    <row r="13" spans="1:14" ht="15.75" thickBot="1" x14ac:dyDescent="0.3">
      <c r="A13" s="160" t="s">
        <v>93</v>
      </c>
      <c r="B13" s="161">
        <f>SUM(C12:F12)</f>
        <v>106.56661998933089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60"/>
    </row>
    <row r="14" spans="1:14" ht="15.75" thickTop="1" x14ac:dyDescent="0.25">
      <c r="N14" s="15" t="s">
        <v>0</v>
      </c>
    </row>
    <row r="26" spans="13:13" x14ac:dyDescent="0.25">
      <c r="M26" s="15" t="s">
        <v>0</v>
      </c>
    </row>
  </sheetData>
  <mergeCells count="1">
    <mergeCell ref="B8:L8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16"/>
  <sheetViews>
    <sheetView zoomScaleNormal="100" workbookViewId="0">
      <selection activeCell="B2" sqref="B2:B3"/>
    </sheetView>
  </sheetViews>
  <sheetFormatPr baseColWidth="10" defaultColWidth="11.42578125" defaultRowHeight="12.75" x14ac:dyDescent="0.2"/>
  <cols>
    <col min="1" max="1" width="9.42578125" style="1" customWidth="1"/>
    <col min="2" max="2" width="25.42578125" style="1" customWidth="1"/>
    <col min="3" max="3" width="13.42578125" style="1" customWidth="1"/>
    <col min="4" max="4" width="16.42578125" style="1" customWidth="1"/>
    <col min="5" max="5" width="16.5703125" style="1" customWidth="1"/>
    <col min="6" max="6" width="13.42578125" style="1" customWidth="1"/>
    <col min="7" max="7" width="13.85546875" style="1" customWidth="1"/>
    <col min="8" max="8" width="13.7109375" style="1" customWidth="1"/>
    <col min="9" max="9" width="14.28515625" style="1" customWidth="1"/>
    <col min="10" max="16384" width="11.42578125" style="1"/>
  </cols>
  <sheetData>
    <row r="1" spans="1:14" ht="12.75" customHeight="1" x14ac:dyDescent="0.2">
      <c r="A1" s="51" t="s">
        <v>111</v>
      </c>
      <c r="F1" s="53"/>
    </row>
    <row r="2" spans="1:14" ht="12.75" customHeight="1" x14ac:dyDescent="0.2">
      <c r="A2" s="191" t="s">
        <v>85</v>
      </c>
      <c r="B2" s="191" t="s">
        <v>90</v>
      </c>
      <c r="C2" s="193" t="s">
        <v>77</v>
      </c>
      <c r="D2" s="193" t="s">
        <v>88</v>
      </c>
      <c r="E2" s="193" t="s">
        <v>89</v>
      </c>
      <c r="F2" s="193" t="s">
        <v>86</v>
      </c>
    </row>
    <row r="3" spans="1:14" ht="21" customHeight="1" x14ac:dyDescent="0.2">
      <c r="A3" s="192"/>
      <c r="B3" s="192"/>
      <c r="C3" s="194"/>
      <c r="D3" s="194"/>
      <c r="E3" s="194"/>
      <c r="F3" s="194"/>
      <c r="G3" s="40" t="s">
        <v>81</v>
      </c>
      <c r="H3" s="40" t="s">
        <v>82</v>
      </c>
      <c r="I3" s="40" t="s">
        <v>83</v>
      </c>
    </row>
    <row r="4" spans="1:14" x14ac:dyDescent="0.2">
      <c r="A4" s="54">
        <v>1</v>
      </c>
      <c r="B4" s="1" t="s">
        <v>94</v>
      </c>
      <c r="C4" s="40">
        <v>7</v>
      </c>
      <c r="D4" s="40">
        <v>20</v>
      </c>
      <c r="E4" s="40">
        <v>140</v>
      </c>
      <c r="F4" s="40" t="s">
        <v>84</v>
      </c>
      <c r="G4" s="40">
        <v>150</v>
      </c>
      <c r="H4" s="40"/>
      <c r="I4" s="40">
        <f>E4</f>
        <v>140</v>
      </c>
    </row>
    <row r="5" spans="1:14" x14ac:dyDescent="0.2">
      <c r="A5" s="54">
        <v>2</v>
      </c>
      <c r="B5" s="1" t="s">
        <v>95</v>
      </c>
      <c r="C5" s="40">
        <v>40</v>
      </c>
      <c r="D5" s="40">
        <v>8</v>
      </c>
      <c r="E5" s="40">
        <v>320</v>
      </c>
      <c r="F5" s="40" t="s">
        <v>87</v>
      </c>
      <c r="G5" s="40">
        <v>150</v>
      </c>
      <c r="H5" s="40">
        <f>E5</f>
        <v>320</v>
      </c>
      <c r="I5" s="40">
        <f>H5-G5</f>
        <v>170</v>
      </c>
    </row>
    <row r="6" spans="1:14" x14ac:dyDescent="0.2">
      <c r="A6" s="54">
        <v>3</v>
      </c>
      <c r="B6" s="1" t="s">
        <v>96</v>
      </c>
      <c r="C6" s="40">
        <v>300</v>
      </c>
      <c r="D6" s="40">
        <v>1</v>
      </c>
      <c r="E6" s="40">
        <v>300</v>
      </c>
      <c r="F6" s="40" t="s">
        <v>87</v>
      </c>
      <c r="G6" s="40">
        <v>150</v>
      </c>
      <c r="H6" s="40">
        <f>E6</f>
        <v>300</v>
      </c>
      <c r="I6" s="40">
        <f>H6-G6</f>
        <v>150</v>
      </c>
    </row>
    <row r="7" spans="1:14" ht="13.5" thickBot="1" x14ac:dyDescent="0.25">
      <c r="A7" s="55">
        <v>4</v>
      </c>
      <c r="B7" s="41" t="s">
        <v>65</v>
      </c>
      <c r="C7" s="56">
        <v>25</v>
      </c>
      <c r="D7" s="56">
        <v>10</v>
      </c>
      <c r="E7" s="56">
        <v>250</v>
      </c>
      <c r="F7" s="56" t="s">
        <v>87</v>
      </c>
      <c r="G7" s="40">
        <v>150</v>
      </c>
      <c r="H7" s="40">
        <f>E7</f>
        <v>250</v>
      </c>
      <c r="I7" s="40">
        <f>H7-G7</f>
        <v>100</v>
      </c>
    </row>
    <row r="8" spans="1:14" ht="13.5" thickTop="1" x14ac:dyDescent="0.2"/>
    <row r="14" spans="1:14" x14ac:dyDescent="0.2">
      <c r="C14" s="1" t="s">
        <v>0</v>
      </c>
    </row>
    <row r="16" spans="1:14" x14ac:dyDescent="0.2">
      <c r="N16" s="1" t="s">
        <v>0</v>
      </c>
    </row>
  </sheetData>
  <mergeCells count="6">
    <mergeCell ref="A2:A3"/>
    <mergeCell ref="B2:B3"/>
    <mergeCell ref="F2:F3"/>
    <mergeCell ref="D2:D3"/>
    <mergeCell ref="E2:E3"/>
    <mergeCell ref="C2:C3"/>
  </mergeCells>
  <printOptions headings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Y52"/>
  <sheetViews>
    <sheetView zoomScaleNormal="100" workbookViewId="0">
      <selection activeCell="Y1" sqref="Y1"/>
    </sheetView>
  </sheetViews>
  <sheetFormatPr baseColWidth="10" defaultColWidth="11.42578125" defaultRowHeight="15" outlineLevelRow="1" outlineLevelCol="1" x14ac:dyDescent="0.25"/>
  <cols>
    <col min="1" max="1" width="21.28515625" style="18" customWidth="1"/>
    <col min="2" max="5" width="8.42578125" style="18" customWidth="1"/>
    <col min="6" max="6" width="11.42578125" style="18" customWidth="1"/>
    <col min="7" max="8" width="8.42578125" style="18" customWidth="1"/>
    <col min="9" max="22" width="7.85546875" style="18" hidden="1" customWidth="1" outlineLevel="1"/>
    <col min="23" max="23" width="11.42578125" style="18" customWidth="1" collapsed="1"/>
    <col min="24" max="16384" width="11.42578125" style="18"/>
  </cols>
  <sheetData>
    <row r="1" spans="1:25" ht="17.45" customHeight="1" x14ac:dyDescent="0.3">
      <c r="A1" s="18" t="s">
        <v>102</v>
      </c>
      <c r="C1" s="183" t="s">
        <v>101</v>
      </c>
      <c r="D1" s="183"/>
      <c r="E1" s="183"/>
      <c r="F1" s="183"/>
      <c r="G1" s="183"/>
      <c r="Y1" s="57"/>
    </row>
    <row r="2" spans="1:25" x14ac:dyDescent="0.25">
      <c r="D2" s="19"/>
      <c r="E2" s="19"/>
      <c r="F2" s="19"/>
      <c r="G2" s="19"/>
      <c r="H2" s="19"/>
    </row>
    <row r="3" spans="1:25" x14ac:dyDescent="0.25">
      <c r="A3" s="20" t="s">
        <v>1</v>
      </c>
      <c r="B3" s="182" t="s">
        <v>53</v>
      </c>
      <c r="C3" s="182"/>
      <c r="D3" s="182"/>
      <c r="E3" s="182"/>
      <c r="F3" s="182"/>
      <c r="G3" s="182"/>
      <c r="H3" s="182"/>
    </row>
    <row r="4" spans="1:25" x14ac:dyDescent="0.25">
      <c r="A4" s="21" t="s">
        <v>97</v>
      </c>
      <c r="B4" s="22">
        <v>2016</v>
      </c>
      <c r="C4" s="21">
        <f t="shared" ref="C4:V4" si="0">B4+1</f>
        <v>2017</v>
      </c>
      <c r="D4" s="21">
        <f t="shared" si="0"/>
        <v>2018</v>
      </c>
      <c r="E4" s="21">
        <f t="shared" si="0"/>
        <v>2019</v>
      </c>
      <c r="F4" s="21">
        <f t="shared" si="0"/>
        <v>2020</v>
      </c>
      <c r="G4" s="21">
        <f t="shared" si="0"/>
        <v>2021</v>
      </c>
      <c r="H4" s="21">
        <f t="shared" si="0"/>
        <v>2022</v>
      </c>
      <c r="I4" s="21">
        <f t="shared" si="0"/>
        <v>2023</v>
      </c>
      <c r="J4" s="21">
        <f t="shared" si="0"/>
        <v>2024</v>
      </c>
      <c r="K4" s="21">
        <f t="shared" si="0"/>
        <v>2025</v>
      </c>
      <c r="L4" s="21">
        <f t="shared" si="0"/>
        <v>2026</v>
      </c>
      <c r="M4" s="21">
        <f t="shared" si="0"/>
        <v>2027</v>
      </c>
      <c r="N4" s="21">
        <f t="shared" si="0"/>
        <v>2028</v>
      </c>
      <c r="O4" s="21">
        <f t="shared" si="0"/>
        <v>2029</v>
      </c>
      <c r="P4" s="21">
        <f t="shared" si="0"/>
        <v>2030</v>
      </c>
      <c r="Q4" s="21">
        <f t="shared" si="0"/>
        <v>2031</v>
      </c>
      <c r="R4" s="21">
        <f t="shared" si="0"/>
        <v>2032</v>
      </c>
      <c r="S4" s="21">
        <f t="shared" si="0"/>
        <v>2033</v>
      </c>
      <c r="T4" s="21">
        <f t="shared" si="0"/>
        <v>2034</v>
      </c>
      <c r="U4" s="21">
        <f t="shared" si="0"/>
        <v>2035</v>
      </c>
      <c r="V4" s="21">
        <f t="shared" si="0"/>
        <v>2036</v>
      </c>
      <c r="W4" s="23" t="s">
        <v>100</v>
      </c>
    </row>
    <row r="5" spans="1:25" x14ac:dyDescent="0.25">
      <c r="A5" s="24" t="s">
        <v>99</v>
      </c>
      <c r="B5" s="25">
        <v>-10600</v>
      </c>
      <c r="C5" s="25">
        <v>61</v>
      </c>
      <c r="D5" s="25">
        <v>6886</v>
      </c>
      <c r="E5" s="25">
        <v>6045</v>
      </c>
      <c r="F5" s="25"/>
      <c r="G5" s="25"/>
      <c r="H5" s="25"/>
      <c r="I5" s="26"/>
      <c r="J5" s="26"/>
      <c r="K5" s="26"/>
      <c r="W5" s="27">
        <f>IRR(B5:V5)</f>
        <v>8.660327469004736E-2</v>
      </c>
    </row>
    <row r="6" spans="1:25" ht="12.75" hidden="1" customHeight="1" outlineLevel="1" x14ac:dyDescent="0.25">
      <c r="A6" s="28" t="s">
        <v>98</v>
      </c>
      <c r="B6" s="25">
        <v>-20000</v>
      </c>
      <c r="C6" s="25">
        <v>7000</v>
      </c>
      <c r="D6" s="25">
        <v>2000</v>
      </c>
      <c r="E6" s="25">
        <v>9000</v>
      </c>
      <c r="F6" s="25">
        <v>11000</v>
      </c>
      <c r="G6" s="25">
        <v>2000</v>
      </c>
      <c r="H6" s="25">
        <v>7000</v>
      </c>
      <c r="I6" s="26"/>
      <c r="J6" s="26"/>
      <c r="K6" s="26"/>
      <c r="W6" s="27">
        <f>IRR(B6:V6)</f>
        <v>0.21727421253664736</v>
      </c>
    </row>
    <row r="7" spans="1:25" collapsed="1" x14ac:dyDescent="0.25"/>
    <row r="8" spans="1:25" x14ac:dyDescent="0.25">
      <c r="A8" s="20" t="s">
        <v>92</v>
      </c>
      <c r="B8" s="182" t="s">
        <v>17</v>
      </c>
      <c r="C8" s="182"/>
      <c r="D8" s="182"/>
      <c r="E8" s="182"/>
      <c r="F8" s="182"/>
      <c r="G8" s="182"/>
      <c r="H8" s="182"/>
    </row>
    <row r="9" spans="1:25" x14ac:dyDescent="0.25">
      <c r="A9" s="21" t="s">
        <v>97</v>
      </c>
      <c r="B9" s="29">
        <f>C9-C9</f>
        <v>0</v>
      </c>
      <c r="C9" s="30">
        <v>0.03</v>
      </c>
      <c r="D9" s="31">
        <f>C9+$C$9</f>
        <v>0.06</v>
      </c>
      <c r="E9" s="31">
        <f>D9+$C$9</f>
        <v>0.09</v>
      </c>
      <c r="F9" s="31">
        <f>E9+$C$9</f>
        <v>0.12</v>
      </c>
      <c r="G9" s="31">
        <f>F9+$C$9</f>
        <v>0.15</v>
      </c>
      <c r="H9" s="31">
        <f>G9+$C$9</f>
        <v>0.18</v>
      </c>
    </row>
    <row r="10" spans="1:25" x14ac:dyDescent="0.25">
      <c r="A10" s="32" t="str">
        <f>A5</f>
        <v>Alfa</v>
      </c>
      <c r="B10" s="33">
        <f>NPV(B9,$B5:$V$5)*(1+B9)</f>
        <v>2392</v>
      </c>
      <c r="C10" s="33">
        <f>NPV(C9,$B5:$V$5)*(1+C9)</f>
        <v>1481.9700620557569</v>
      </c>
      <c r="D10" s="33">
        <f>NPV(D9,$B5:$V$5)*(1+D9)</f>
        <v>661.56122167963986</v>
      </c>
      <c r="E10" s="33">
        <f>NPV(E9,$B5:$V$5)*(1+E9)</f>
        <v>-80.379126645041651</v>
      </c>
      <c r="F10" s="33">
        <f>NPV(F9,$B5:$V$5)*(1+F9)</f>
        <v>-753.34707543731929</v>
      </c>
      <c r="G10" s="33">
        <f>NPV(G9,$B5:$V$5)*(1+G9)</f>
        <v>-1365.4656036820884</v>
      </c>
      <c r="H10" s="33">
        <f>NPV(H9,$B5:$V$5)*(1+H9)</f>
        <v>-1923.7134760613308</v>
      </c>
      <c r="I10" s="34"/>
    </row>
    <row r="11" spans="1:25" hidden="1" outlineLevel="1" x14ac:dyDescent="0.25">
      <c r="A11" s="32" t="str">
        <f>A6</f>
        <v>Beta</v>
      </c>
      <c r="B11" s="33">
        <f>NPV(B9,$B$6:$V6)*(1+B9)</f>
        <v>18000</v>
      </c>
      <c r="C11" s="33">
        <f>NPV(C9,$B$6:$V6)*(1+C9)</f>
        <v>14278.548149926799</v>
      </c>
      <c r="D11" s="33">
        <f>NPV(D9,$B$6:$V6)*(1+D9)</f>
        <v>11082.610436652925</v>
      </c>
      <c r="E11" s="33">
        <f>NPV(E9,$B$6:$V6)*(1+E9)</f>
        <v>8321.441038174913</v>
      </c>
      <c r="F11" s="33">
        <f>NPV(F9,$B$6:$V6)*(1+F9)</f>
        <v>5922.3804075543248</v>
      </c>
      <c r="G11" s="33">
        <f>NPV(G9,$B$6:$V6)*(1+G9)</f>
        <v>3826.8222917214425</v>
      </c>
      <c r="H11" s="33">
        <f>NPV(H9,$B$6:$V6)*(1+H9)</f>
        <v>1987.1669368480018</v>
      </c>
    </row>
    <row r="12" spans="1:25" collapsed="1" x14ac:dyDescent="0.25"/>
    <row r="13" spans="1:25" x14ac:dyDescent="0.25">
      <c r="Y13" s="35"/>
    </row>
    <row r="24" spans="2:7" x14ac:dyDescent="0.25">
      <c r="B24" s="35">
        <f t="shared" ref="B24:G24" si="1">C9*100</f>
        <v>3</v>
      </c>
      <c r="C24" s="35">
        <f t="shared" si="1"/>
        <v>6</v>
      </c>
      <c r="D24" s="35">
        <f t="shared" si="1"/>
        <v>9</v>
      </c>
      <c r="E24" s="35">
        <f t="shared" si="1"/>
        <v>12</v>
      </c>
      <c r="F24" s="35">
        <f t="shared" si="1"/>
        <v>15</v>
      </c>
      <c r="G24" s="35">
        <f t="shared" si="1"/>
        <v>18</v>
      </c>
    </row>
    <row r="32" spans="2:7" x14ac:dyDescent="0.25">
      <c r="B32" s="36"/>
    </row>
    <row r="36" spans="1:1" x14ac:dyDescent="0.25">
      <c r="A36" s="32"/>
    </row>
    <row r="52" spans="2:8" x14ac:dyDescent="0.25">
      <c r="B52" s="37"/>
      <c r="C52" s="38"/>
      <c r="D52" s="38"/>
      <c r="E52" s="38"/>
      <c r="F52" s="38"/>
      <c r="G52" s="38"/>
      <c r="H52" s="38"/>
    </row>
  </sheetData>
  <mergeCells count="3">
    <mergeCell ref="C1:G1"/>
    <mergeCell ref="B3:H3"/>
    <mergeCell ref="B8:H8"/>
  </mergeCells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3"/>
  <sheetViews>
    <sheetView zoomScaleNormal="100" workbookViewId="0">
      <selection activeCell="O9" sqref="O9"/>
    </sheetView>
  </sheetViews>
  <sheetFormatPr baseColWidth="10" defaultColWidth="9.140625" defaultRowHeight="15" outlineLevelRow="1" outlineLevelCol="2" x14ac:dyDescent="0.25"/>
  <cols>
    <col min="1" max="1" width="28.140625" style="15" customWidth="1"/>
    <col min="2" max="2" width="8.7109375" style="15" customWidth="1"/>
    <col min="3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x14ac:dyDescent="0.25">
      <c r="A4" s="15" t="s">
        <v>164</v>
      </c>
      <c r="B4" s="16"/>
    </row>
    <row r="5" spans="1:19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1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1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1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1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1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1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1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1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1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1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hidden="1" outlineLevel="1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hidden="1" outlineLevel="1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hidden="1" outlineLevel="1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1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1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1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1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1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1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hidden="1" outlineLevel="1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hidden="1" outlineLevel="1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hidden="1" outlineLevel="1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hidden="1" outlineLevel="1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hidden="1" outlineLevel="1" x14ac:dyDescent="0.25">
      <c r="B38" s="86"/>
      <c r="C38" s="86"/>
      <c r="D38" s="86"/>
      <c r="E38" s="86"/>
      <c r="F38" s="86"/>
      <c r="G38" s="86"/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hidden="1" outlineLevel="1" x14ac:dyDescent="0.25"/>
    <row r="49" spans="2:12" hidden="1" outlineLevel="1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hidden="1" outlineLevel="1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hidden="1" outlineLevel="1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hidden="1" outlineLevel="1" x14ac:dyDescent="0.25">
      <c r="B52" s="33"/>
      <c r="C52" s="33"/>
      <c r="D52" s="33"/>
      <c r="E52" s="33"/>
      <c r="F52" s="33"/>
      <c r="G52" s="33"/>
      <c r="H52" s="39"/>
      <c r="I52" s="16"/>
      <c r="L52" s="82"/>
    </row>
    <row r="53" spans="2:12" collapsed="1" x14ac:dyDescent="0.25"/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U107"/>
  <sheetViews>
    <sheetView topLeftCell="B13" zoomScaleNormal="100" workbookViewId="0">
      <selection activeCell="X27" sqref="X27"/>
    </sheetView>
  </sheetViews>
  <sheetFormatPr baseColWidth="10" defaultColWidth="11.42578125" defaultRowHeight="15" x14ac:dyDescent="0.25"/>
  <cols>
    <col min="1" max="1" width="14.5703125" style="39" customWidth="1"/>
    <col min="2" max="7" width="6.7109375" style="119" customWidth="1"/>
    <col min="8" max="8" width="7.85546875" style="119" customWidth="1"/>
    <col min="9" max="9" width="4.7109375" style="39" customWidth="1"/>
    <col min="10" max="11" width="7.140625" style="39" customWidth="1"/>
    <col min="12" max="12" width="7" style="39" customWidth="1"/>
    <col min="13" max="13" width="7.28515625" style="39" customWidth="1"/>
    <col min="14" max="14" width="7.140625" style="39" customWidth="1"/>
    <col min="15" max="15" width="7.5703125" style="39" customWidth="1"/>
    <col min="16" max="16" width="6.42578125" style="39" customWidth="1"/>
    <col min="17" max="17" width="6.140625" style="39" customWidth="1"/>
    <col min="18" max="18" width="7" style="39" customWidth="1"/>
    <col min="19" max="19" width="6.7109375" style="39" customWidth="1"/>
    <col min="20" max="21" width="6.5703125" style="39" customWidth="1"/>
    <col min="22" max="22" width="7.5703125" style="39" customWidth="1"/>
    <col min="23" max="23" width="8.28515625" style="39" customWidth="1"/>
    <col min="24" max="24" width="8" style="39" customWidth="1"/>
    <col min="25" max="25" width="7.85546875" style="39" customWidth="1"/>
    <col min="26" max="26" width="8.140625" style="39" customWidth="1"/>
    <col min="27" max="16384" width="11.42578125" style="39"/>
  </cols>
  <sheetData>
    <row r="1" spans="1:21" s="104" customFormat="1" x14ac:dyDescent="0.25">
      <c r="A1" s="83" t="s">
        <v>102</v>
      </c>
      <c r="B1" s="146"/>
      <c r="C1" s="146"/>
      <c r="D1" s="107"/>
      <c r="E1" s="146"/>
      <c r="F1" s="146"/>
      <c r="G1" s="146"/>
      <c r="H1" s="146"/>
    </row>
    <row r="2" spans="1:21" x14ac:dyDescent="0.25">
      <c r="A2" s="39" t="s">
        <v>3</v>
      </c>
      <c r="B2" s="105">
        <v>40</v>
      </c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</row>
    <row r="3" spans="1:21" x14ac:dyDescent="0.25">
      <c r="A3" s="39" t="s">
        <v>4</v>
      </c>
      <c r="B3" s="105">
        <v>0.14000000000000001</v>
      </c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</row>
    <row r="4" spans="1:21" x14ac:dyDescent="0.25">
      <c r="A4" s="39" t="s">
        <v>6</v>
      </c>
      <c r="B4" s="105">
        <v>0.05</v>
      </c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</row>
    <row r="5" spans="1:21" x14ac:dyDescent="0.25">
      <c r="A5" s="39" t="s">
        <v>5</v>
      </c>
      <c r="B5" s="105">
        <v>0.22</v>
      </c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</row>
    <row r="6" spans="1:21" s="104" customFormat="1" x14ac:dyDescent="0.25">
      <c r="A6" s="39" t="s">
        <v>14</v>
      </c>
      <c r="B6" s="107">
        <v>5</v>
      </c>
      <c r="C6" s="107"/>
      <c r="D6" s="107"/>
      <c r="E6" s="107"/>
      <c r="F6" s="107"/>
      <c r="G6" s="107"/>
      <c r="H6" s="107"/>
      <c r="I6" s="108"/>
      <c r="J6" s="108"/>
      <c r="K6" s="108"/>
      <c r="L6" s="106"/>
      <c r="M6" s="106"/>
      <c r="N6" s="106"/>
      <c r="O6" s="106"/>
      <c r="P6" s="106"/>
      <c r="Q6" s="106"/>
      <c r="R6" s="106"/>
      <c r="S6" s="106"/>
      <c r="T6" s="106"/>
      <c r="U6" s="108"/>
    </row>
    <row r="7" spans="1:21" s="104" customFormat="1" x14ac:dyDescent="0.25">
      <c r="A7" s="39"/>
      <c r="B7" s="107"/>
      <c r="C7" s="107"/>
      <c r="D7" s="107"/>
      <c r="E7" s="107"/>
      <c r="F7" s="107"/>
      <c r="G7" s="107"/>
      <c r="H7" s="107"/>
      <c r="I7" s="108"/>
      <c r="J7" s="108"/>
      <c r="K7" s="108"/>
      <c r="L7" s="106"/>
      <c r="M7" s="106"/>
      <c r="N7" s="106">
        <v>1</v>
      </c>
      <c r="O7" s="106">
        <v>2</v>
      </c>
      <c r="P7" s="106">
        <v>3</v>
      </c>
      <c r="Q7" s="106">
        <v>4</v>
      </c>
      <c r="R7" s="106">
        <v>5</v>
      </c>
      <c r="S7" s="106">
        <v>6</v>
      </c>
      <c r="T7" s="106">
        <v>7</v>
      </c>
      <c r="U7" s="108"/>
    </row>
    <row r="8" spans="1:21" s="104" customFormat="1" x14ac:dyDescent="0.25">
      <c r="B8" s="107"/>
      <c r="C8" s="107"/>
      <c r="D8" s="107"/>
      <c r="E8" s="107"/>
      <c r="F8" s="107"/>
      <c r="G8" s="107"/>
      <c r="H8" s="107"/>
      <c r="I8" s="108"/>
      <c r="J8" s="108"/>
      <c r="K8" s="108"/>
      <c r="L8" s="106"/>
      <c r="M8" s="106"/>
      <c r="N8" s="106"/>
      <c r="O8" s="106"/>
      <c r="P8" s="106" t="s">
        <v>17</v>
      </c>
      <c r="Q8" s="106"/>
      <c r="R8" s="106"/>
      <c r="S8" s="106"/>
      <c r="T8" s="106"/>
      <c r="U8" s="108"/>
    </row>
    <row r="9" spans="1:21" s="104" customFormat="1" x14ac:dyDescent="0.25">
      <c r="B9" s="107"/>
      <c r="C9" s="107"/>
      <c r="D9" s="107"/>
      <c r="E9" s="107"/>
      <c r="F9" s="107"/>
      <c r="G9" s="107"/>
      <c r="H9" s="119" t="s">
        <v>15</v>
      </c>
      <c r="I9" s="108"/>
      <c r="J9" s="108"/>
      <c r="K9" s="108"/>
      <c r="L9" s="106"/>
      <c r="M9" s="106">
        <v>0</v>
      </c>
      <c r="N9" s="106">
        <v>1</v>
      </c>
      <c r="O9" s="106">
        <v>2</v>
      </c>
      <c r="P9" s="106">
        <v>3</v>
      </c>
      <c r="Q9" s="106">
        <v>4</v>
      </c>
      <c r="R9" s="106">
        <v>5</v>
      </c>
      <c r="S9" s="106">
        <v>6</v>
      </c>
      <c r="T9" s="106">
        <v>7</v>
      </c>
      <c r="U9" s="108"/>
    </row>
    <row r="10" spans="1:21" s="109" customFormat="1" x14ac:dyDescent="0.25">
      <c r="A10" s="110"/>
      <c r="B10" s="111">
        <v>0</v>
      </c>
      <c r="C10" s="111">
        <v>1</v>
      </c>
      <c r="D10" s="111">
        <v>2</v>
      </c>
      <c r="E10" s="111">
        <v>3</v>
      </c>
      <c r="F10" s="111">
        <v>4</v>
      </c>
      <c r="G10" s="111">
        <v>5</v>
      </c>
      <c r="H10" s="111" t="s">
        <v>2</v>
      </c>
      <c r="I10" s="106"/>
      <c r="J10" s="106"/>
      <c r="K10" s="106"/>
      <c r="L10" s="106" t="s">
        <v>41</v>
      </c>
      <c r="M10" s="162">
        <f>$B$20+NPV(M9/100,$C$20:$G$20)</f>
        <v>-4.789200000000001</v>
      </c>
      <c r="N10" s="106">
        <f t="shared" ref="N10:T10" si="0">$B$20+NPV(N9/100,$C$20:$G$20)</f>
        <v>-3.5682227519271592</v>
      </c>
      <c r="O10" s="106">
        <f t="shared" si="0"/>
        <v>-2.4015239319663664</v>
      </c>
      <c r="P10" s="106">
        <f t="shared" si="0"/>
        <v>-1.2860198758553025</v>
      </c>
      <c r="Q10" s="162">
        <f t="shared" si="0"/>
        <v>-0.21883553379674936</v>
      </c>
      <c r="R10" s="106">
        <f t="shared" si="0"/>
        <v>0.80271172794208923</v>
      </c>
      <c r="S10" s="162">
        <f t="shared" si="0"/>
        <v>1.781126914642293</v>
      </c>
      <c r="T10" s="106">
        <f t="shared" si="0"/>
        <v>2.7187509155932759</v>
      </c>
      <c r="U10" s="106"/>
    </row>
    <row r="11" spans="1:21" s="104" customFormat="1" x14ac:dyDescent="0.25">
      <c r="A11" s="39" t="s">
        <v>7</v>
      </c>
      <c r="B11" s="112">
        <f>B2</f>
        <v>40</v>
      </c>
      <c r="C11" s="112"/>
      <c r="D11" s="112"/>
      <c r="E11" s="112"/>
      <c r="F11" s="112"/>
      <c r="G11" s="112"/>
      <c r="H11" s="120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</row>
    <row r="12" spans="1:21" s="104" customFormat="1" x14ac:dyDescent="0.25">
      <c r="A12" s="39" t="s">
        <v>8</v>
      </c>
      <c r="B12" s="112">
        <f>B11</f>
        <v>40</v>
      </c>
      <c r="C12" s="112">
        <f>B12+C14</f>
        <v>32</v>
      </c>
      <c r="D12" s="112">
        <f>C12+D14</f>
        <v>24</v>
      </c>
      <c r="E12" s="112">
        <f>D12+E14</f>
        <v>16</v>
      </c>
      <c r="F12" s="112">
        <f>E12+F14</f>
        <v>8</v>
      </c>
      <c r="G12" s="112">
        <f>F12+G14</f>
        <v>0</v>
      </c>
      <c r="H12" s="120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</row>
    <row r="13" spans="1:21" s="104" customFormat="1" x14ac:dyDescent="0.25">
      <c r="A13" s="39" t="s">
        <v>4</v>
      </c>
      <c r="B13" s="112">
        <f>-B3</f>
        <v>-0.14000000000000001</v>
      </c>
      <c r="C13" s="112"/>
      <c r="D13" s="112"/>
      <c r="E13" s="112"/>
      <c r="F13" s="112"/>
      <c r="G13" s="112"/>
      <c r="H13" s="120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</row>
    <row r="14" spans="1:21" s="104" customFormat="1" x14ac:dyDescent="0.25">
      <c r="A14" s="39" t="s">
        <v>9</v>
      </c>
      <c r="B14" s="112"/>
      <c r="C14" s="112">
        <f>-B2/B6</f>
        <v>-8</v>
      </c>
      <c r="D14" s="112">
        <f>C14</f>
        <v>-8</v>
      </c>
      <c r="E14" s="112">
        <f>D14</f>
        <v>-8</v>
      </c>
      <c r="F14" s="112">
        <f>E14</f>
        <v>-8</v>
      </c>
      <c r="G14" s="112">
        <f>F14</f>
        <v>-8</v>
      </c>
      <c r="H14" s="120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</row>
    <row r="15" spans="1:21" s="104" customFormat="1" x14ac:dyDescent="0.25">
      <c r="A15" s="39" t="s">
        <v>10</v>
      </c>
      <c r="B15" s="112">
        <f>-$B$4*B12</f>
        <v>-2</v>
      </c>
      <c r="C15" s="112">
        <f>-$B$4*C12</f>
        <v>-1.6</v>
      </c>
      <c r="D15" s="112">
        <f>-$B$4*D12</f>
        <v>-1.2000000000000002</v>
      </c>
      <c r="E15" s="112">
        <f>-$B$4*E12</f>
        <v>-0.8</v>
      </c>
      <c r="F15" s="112">
        <f>-$B$4*F12</f>
        <v>-0.4</v>
      </c>
      <c r="G15" s="146"/>
      <c r="H15" s="120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</row>
    <row r="16" spans="1:21" s="104" customFormat="1" x14ac:dyDescent="0.25">
      <c r="A16" s="39" t="s">
        <v>1</v>
      </c>
      <c r="B16" s="112"/>
      <c r="C16" s="112"/>
      <c r="D16" s="112"/>
      <c r="E16" s="112"/>
      <c r="F16" s="112"/>
      <c r="G16" s="112"/>
      <c r="H16" s="120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</row>
    <row r="17" spans="1:21" s="104" customFormat="1" x14ac:dyDescent="0.25">
      <c r="A17" s="110" t="s">
        <v>11</v>
      </c>
      <c r="B17" s="113">
        <f>B11+B13+B15</f>
        <v>37.86</v>
      </c>
      <c r="C17" s="113">
        <f>C14+C15</f>
        <v>-9.6</v>
      </c>
      <c r="D17" s="113">
        <f>D14+D15</f>
        <v>-9.1999999999999993</v>
      </c>
      <c r="E17" s="113">
        <f>E14+E15</f>
        <v>-8.8000000000000007</v>
      </c>
      <c r="F17" s="113">
        <f>F14+F15</f>
        <v>-8.4</v>
      </c>
      <c r="G17" s="113">
        <f>G14+G15</f>
        <v>-8</v>
      </c>
      <c r="H17" s="123">
        <f>IRR(B17:G17)</f>
        <v>5.4017095621706313E-2</v>
      </c>
      <c r="I17" s="108"/>
      <c r="J17" s="108"/>
      <c r="K17" s="108" t="s">
        <v>0</v>
      </c>
      <c r="L17" s="108" t="s">
        <v>0</v>
      </c>
      <c r="M17" s="108"/>
      <c r="N17" s="108"/>
      <c r="O17" s="108"/>
      <c r="P17" s="108"/>
      <c r="Q17" s="108"/>
      <c r="R17" s="108"/>
      <c r="S17" s="108"/>
      <c r="T17" s="108"/>
      <c r="U17" s="108"/>
    </row>
    <row r="18" spans="1:21" s="104" customFormat="1" x14ac:dyDescent="0.25">
      <c r="A18" s="39" t="s">
        <v>12</v>
      </c>
      <c r="B18" s="112">
        <f>(B3*B5)</f>
        <v>3.0800000000000004E-2</v>
      </c>
      <c r="C18" s="112">
        <f>-$B$5*B15</f>
        <v>0.44</v>
      </c>
      <c r="D18" s="112">
        <f>-$B$5*C15</f>
        <v>0.35200000000000004</v>
      </c>
      <c r="E18" s="112">
        <f>-$B$5*D15</f>
        <v>0.26400000000000007</v>
      </c>
      <c r="F18" s="112">
        <f>-$B$5*E15</f>
        <v>0.17600000000000002</v>
      </c>
      <c r="G18" s="112">
        <f>-$B$5*F15</f>
        <v>8.8000000000000009E-2</v>
      </c>
      <c r="H18" s="91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</row>
    <row r="19" spans="1:21" s="104" customFormat="1" x14ac:dyDescent="0.25">
      <c r="A19" s="39" t="s">
        <v>1</v>
      </c>
      <c r="B19" s="112"/>
      <c r="C19" s="114"/>
      <c r="D19" s="114"/>
      <c r="E19" s="114"/>
      <c r="F19" s="114"/>
      <c r="G19" s="114"/>
      <c r="H19" s="91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</row>
    <row r="20" spans="1:21" s="104" customFormat="1" ht="15.75" thickBot="1" x14ac:dyDescent="0.3">
      <c r="A20" s="46" t="s">
        <v>13</v>
      </c>
      <c r="B20" s="115">
        <f t="shared" ref="B20:G20" si="1">B17+B18</f>
        <v>37.890799999999999</v>
      </c>
      <c r="C20" s="115">
        <f t="shared" si="1"/>
        <v>-9.16</v>
      </c>
      <c r="D20" s="115">
        <f t="shared" si="1"/>
        <v>-8.847999999999999</v>
      </c>
      <c r="E20" s="115">
        <f t="shared" si="1"/>
        <v>-8.5360000000000014</v>
      </c>
      <c r="F20" s="115">
        <f t="shared" si="1"/>
        <v>-8.2240000000000002</v>
      </c>
      <c r="G20" s="115">
        <f t="shared" si="1"/>
        <v>-7.9119999999999999</v>
      </c>
      <c r="H20" s="124">
        <f>IRR(B20:G20)</f>
        <v>4.2105910574893102E-2</v>
      </c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</row>
    <row r="21" spans="1:21" s="104" customFormat="1" ht="15.75" thickTop="1" x14ac:dyDescent="0.25">
      <c r="B21" s="107"/>
      <c r="C21" s="107"/>
      <c r="D21" s="107"/>
      <c r="E21" s="107"/>
      <c r="F21" s="107"/>
      <c r="G21" s="107"/>
      <c r="H21" s="107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</row>
    <row r="22" spans="1:21" s="15" customFormat="1" x14ac:dyDescent="0.25">
      <c r="B22" s="87"/>
      <c r="C22" s="87"/>
      <c r="D22" s="87"/>
      <c r="E22" s="87"/>
      <c r="F22" s="87"/>
      <c r="G22" s="87"/>
      <c r="H22" s="87"/>
    </row>
    <row r="23" spans="1:21" s="15" customFormat="1" x14ac:dyDescent="0.25">
      <c r="B23" s="112"/>
      <c r="C23" s="87"/>
      <c r="D23" s="87"/>
      <c r="E23" s="87"/>
      <c r="F23" s="87"/>
      <c r="G23" s="87"/>
      <c r="H23" s="87"/>
    </row>
    <row r="24" spans="1:21" s="15" customFormat="1" x14ac:dyDescent="0.25">
      <c r="B24" s="87"/>
      <c r="C24" s="87"/>
      <c r="D24" s="87"/>
      <c r="E24" s="87"/>
      <c r="F24" s="87"/>
      <c r="G24" s="87"/>
      <c r="H24" s="87"/>
    </row>
    <row r="25" spans="1:21" s="15" customFormat="1" x14ac:dyDescent="0.25">
      <c r="B25" s="87"/>
      <c r="C25" s="87"/>
      <c r="D25" s="87"/>
      <c r="E25" s="87"/>
      <c r="F25" s="87"/>
      <c r="G25" s="87"/>
      <c r="H25" s="87"/>
    </row>
    <row r="26" spans="1:21" s="15" customFormat="1" x14ac:dyDescent="0.25">
      <c r="B26" s="87"/>
      <c r="C26" s="87"/>
      <c r="D26" s="87"/>
      <c r="E26" s="87"/>
      <c r="F26" s="87"/>
      <c r="G26" s="87"/>
      <c r="H26" s="87"/>
    </row>
    <row r="27" spans="1:21" s="15" customFormat="1" x14ac:dyDescent="0.25">
      <c r="B27" s="87"/>
      <c r="C27" s="87"/>
      <c r="D27" s="87"/>
      <c r="E27" s="87"/>
      <c r="F27" s="87"/>
      <c r="G27" s="87"/>
      <c r="H27" s="87"/>
    </row>
    <row r="28" spans="1:21" s="15" customFormat="1" x14ac:dyDescent="0.25">
      <c r="B28" s="87"/>
      <c r="C28" s="87"/>
      <c r="D28" s="87"/>
      <c r="E28" s="87"/>
      <c r="F28" s="87"/>
      <c r="G28" s="87"/>
      <c r="H28" s="87"/>
    </row>
    <row r="29" spans="1:21" s="15" customFormat="1" x14ac:dyDescent="0.25">
      <c r="B29" s="87"/>
      <c r="C29" s="87"/>
      <c r="D29" s="87"/>
      <c r="E29" s="87"/>
      <c r="F29" s="87"/>
      <c r="G29" s="87"/>
      <c r="H29" s="87"/>
    </row>
    <row r="30" spans="1:21" s="15" customFormat="1" x14ac:dyDescent="0.25">
      <c r="B30" s="87"/>
      <c r="C30" s="87"/>
      <c r="D30" s="87"/>
      <c r="E30" s="87"/>
      <c r="F30" s="87"/>
      <c r="G30" s="87"/>
      <c r="H30" s="87"/>
    </row>
    <row r="31" spans="1:21" s="15" customFormat="1" x14ac:dyDescent="0.25">
      <c r="B31" s="87"/>
      <c r="C31" s="87"/>
      <c r="D31" s="87"/>
      <c r="E31" s="87"/>
      <c r="F31" s="87"/>
      <c r="G31" s="87"/>
      <c r="H31" s="87"/>
    </row>
    <row r="32" spans="1:21" s="15" customFormat="1" x14ac:dyDescent="0.25">
      <c r="B32" s="87"/>
      <c r="C32" s="87"/>
      <c r="D32" s="87"/>
      <c r="E32" s="87"/>
      <c r="F32" s="87"/>
      <c r="G32" s="87"/>
      <c r="H32" s="87"/>
    </row>
    <row r="33" spans="2:8" s="15" customFormat="1" x14ac:dyDescent="0.25">
      <c r="B33" s="87"/>
      <c r="C33" s="87"/>
      <c r="D33" s="87"/>
      <c r="E33" s="87"/>
      <c r="F33" s="87"/>
      <c r="G33" s="87"/>
      <c r="H33" s="87"/>
    </row>
    <row r="34" spans="2:8" s="15" customFormat="1" x14ac:dyDescent="0.25">
      <c r="B34" s="87"/>
      <c r="C34" s="87"/>
      <c r="D34" s="87"/>
      <c r="E34" s="87"/>
      <c r="F34" s="87"/>
      <c r="G34" s="87"/>
      <c r="H34" s="87"/>
    </row>
    <row r="35" spans="2:8" s="15" customFormat="1" x14ac:dyDescent="0.25">
      <c r="B35" s="87"/>
      <c r="C35" s="87"/>
      <c r="D35" s="87"/>
      <c r="E35" s="87"/>
      <c r="F35" s="87"/>
      <c r="G35" s="87"/>
      <c r="H35" s="87"/>
    </row>
    <row r="36" spans="2:8" s="15" customFormat="1" x14ac:dyDescent="0.25">
      <c r="B36" s="87"/>
      <c r="C36" s="87"/>
      <c r="D36" s="87"/>
      <c r="E36" s="87"/>
      <c r="F36" s="87"/>
      <c r="G36" s="87"/>
      <c r="H36" s="87"/>
    </row>
    <row r="37" spans="2:8" s="15" customFormat="1" x14ac:dyDescent="0.25">
      <c r="B37" s="87"/>
      <c r="C37" s="87"/>
      <c r="D37" s="87"/>
      <c r="E37" s="87"/>
      <c r="F37" s="87"/>
      <c r="G37" s="87"/>
      <c r="H37" s="87"/>
    </row>
    <row r="38" spans="2:8" s="15" customFormat="1" x14ac:dyDescent="0.25">
      <c r="B38" s="87"/>
      <c r="C38" s="87"/>
      <c r="D38" s="87"/>
      <c r="E38" s="87"/>
      <c r="F38" s="87"/>
      <c r="G38" s="87"/>
      <c r="H38" s="87"/>
    </row>
    <row r="39" spans="2:8" s="15" customFormat="1" x14ac:dyDescent="0.25">
      <c r="B39" s="87"/>
      <c r="C39" s="87"/>
      <c r="D39" s="87"/>
      <c r="E39" s="87"/>
      <c r="F39" s="87"/>
      <c r="G39" s="87"/>
      <c r="H39" s="87"/>
    </row>
    <row r="40" spans="2:8" s="15" customFormat="1" x14ac:dyDescent="0.25">
      <c r="B40" s="87"/>
      <c r="C40" s="87"/>
      <c r="D40" s="87"/>
      <c r="E40" s="87"/>
      <c r="F40" s="87"/>
      <c r="G40" s="87"/>
      <c r="H40" s="87"/>
    </row>
    <row r="41" spans="2:8" s="15" customFormat="1" x14ac:dyDescent="0.25">
      <c r="B41" s="87"/>
      <c r="C41" s="87"/>
      <c r="D41" s="87"/>
      <c r="E41" s="87"/>
      <c r="F41" s="87"/>
      <c r="G41" s="87"/>
      <c r="H41" s="87"/>
    </row>
    <row r="42" spans="2:8" s="15" customFormat="1" x14ac:dyDescent="0.25">
      <c r="B42" s="87"/>
      <c r="C42" s="87"/>
      <c r="D42" s="87"/>
      <c r="E42" s="87"/>
      <c r="F42" s="87"/>
      <c r="G42" s="87"/>
      <c r="H42" s="87"/>
    </row>
    <row r="43" spans="2:8" s="15" customFormat="1" x14ac:dyDescent="0.25">
      <c r="B43" s="87"/>
      <c r="C43" s="87"/>
      <c r="D43" s="87"/>
      <c r="E43" s="87"/>
      <c r="F43" s="87"/>
      <c r="G43" s="87"/>
      <c r="H43" s="87"/>
    </row>
    <row r="44" spans="2:8" s="15" customFormat="1" x14ac:dyDescent="0.25">
      <c r="B44" s="87"/>
      <c r="C44" s="87"/>
      <c r="D44" s="87"/>
      <c r="E44" s="87"/>
      <c r="F44" s="87"/>
      <c r="G44" s="87"/>
      <c r="H44" s="87"/>
    </row>
    <row r="45" spans="2:8" s="15" customFormat="1" x14ac:dyDescent="0.25">
      <c r="B45" s="87"/>
      <c r="C45" s="87"/>
      <c r="D45" s="87"/>
      <c r="E45" s="87"/>
      <c r="F45" s="87"/>
      <c r="G45" s="87"/>
      <c r="H45" s="87"/>
    </row>
    <row r="46" spans="2:8" s="15" customFormat="1" x14ac:dyDescent="0.25">
      <c r="B46" s="87"/>
      <c r="C46" s="87"/>
      <c r="D46" s="87"/>
      <c r="E46" s="87"/>
      <c r="F46" s="87"/>
      <c r="G46" s="87"/>
      <c r="H46" s="87"/>
    </row>
    <row r="47" spans="2:8" s="15" customFormat="1" x14ac:dyDescent="0.25">
      <c r="B47" s="87"/>
      <c r="C47" s="87"/>
      <c r="D47" s="87"/>
      <c r="E47" s="87"/>
      <c r="F47" s="87"/>
      <c r="G47" s="87"/>
      <c r="H47" s="87"/>
    </row>
    <row r="48" spans="2:8" s="15" customFormat="1" x14ac:dyDescent="0.25">
      <c r="B48" s="87"/>
      <c r="C48" s="87"/>
      <c r="D48" s="87"/>
      <c r="E48" s="87"/>
      <c r="F48" s="87"/>
      <c r="G48" s="87"/>
      <c r="H48" s="87"/>
    </row>
    <row r="49" spans="2:10" s="15" customFormat="1" x14ac:dyDescent="0.25">
      <c r="B49" s="87"/>
      <c r="C49" s="87"/>
      <c r="D49" s="87"/>
      <c r="E49" s="87"/>
      <c r="F49" s="87"/>
      <c r="G49" s="87"/>
      <c r="H49" s="87"/>
    </row>
    <row r="50" spans="2:10" s="15" customFormat="1" x14ac:dyDescent="0.25">
      <c r="B50" s="87"/>
      <c r="C50" s="87"/>
      <c r="D50" s="87"/>
      <c r="E50" s="87"/>
      <c r="F50" s="87"/>
      <c r="G50" s="87"/>
      <c r="H50" s="87"/>
    </row>
    <row r="51" spans="2:10" s="15" customFormat="1" x14ac:dyDescent="0.25">
      <c r="B51" s="87"/>
      <c r="C51" s="87"/>
      <c r="D51" s="87"/>
      <c r="E51" s="87"/>
      <c r="F51" s="87"/>
      <c r="G51" s="87"/>
      <c r="H51" s="87"/>
    </row>
    <row r="52" spans="2:10" s="15" customFormat="1" x14ac:dyDescent="0.25">
      <c r="B52" s="87"/>
      <c r="C52" s="87"/>
      <c r="D52" s="87"/>
      <c r="E52" s="87"/>
      <c r="F52" s="87"/>
      <c r="G52" s="87"/>
      <c r="H52" s="87"/>
    </row>
    <row r="53" spans="2:10" s="15" customFormat="1" x14ac:dyDescent="0.25">
      <c r="B53" s="87"/>
      <c r="C53" s="87"/>
      <c r="D53" s="87"/>
      <c r="E53" s="87"/>
      <c r="F53" s="87"/>
      <c r="G53" s="87"/>
      <c r="H53" s="87"/>
    </row>
    <row r="54" spans="2:10" s="15" customFormat="1" x14ac:dyDescent="0.25">
      <c r="B54" s="87"/>
      <c r="C54" s="87"/>
      <c r="D54" s="87"/>
      <c r="E54" s="87"/>
      <c r="F54" s="87"/>
      <c r="G54" s="87"/>
      <c r="H54" s="87"/>
      <c r="J54" s="15">
        <v>58</v>
      </c>
    </row>
    <row r="55" spans="2:10" s="15" customFormat="1" x14ac:dyDescent="0.25">
      <c r="B55" s="87"/>
      <c r="C55" s="87"/>
      <c r="D55" s="87"/>
      <c r="E55" s="87"/>
      <c r="F55" s="87"/>
      <c r="G55" s="87"/>
      <c r="H55" s="87"/>
      <c r="J55" s="15">
        <v>70</v>
      </c>
    </row>
    <row r="56" spans="2:10" s="15" customFormat="1" x14ac:dyDescent="0.25">
      <c r="B56" s="87"/>
      <c r="C56" s="87"/>
      <c r="D56" s="87"/>
      <c r="E56" s="87"/>
      <c r="F56" s="87"/>
      <c r="G56" s="87"/>
      <c r="H56" s="87"/>
      <c r="J56" s="15">
        <f>J54/J55</f>
        <v>0.82857142857142863</v>
      </c>
    </row>
    <row r="57" spans="2:10" s="15" customFormat="1" x14ac:dyDescent="0.25">
      <c r="B57" s="87"/>
      <c r="C57" s="87"/>
      <c r="D57" s="87"/>
      <c r="E57" s="87"/>
      <c r="F57" s="87"/>
      <c r="G57" s="87"/>
      <c r="H57" s="87"/>
    </row>
    <row r="58" spans="2:10" s="15" customFormat="1" x14ac:dyDescent="0.25">
      <c r="B58" s="87"/>
      <c r="C58" s="87"/>
      <c r="D58" s="87"/>
      <c r="E58" s="87"/>
      <c r="F58" s="87"/>
      <c r="G58" s="87"/>
      <c r="H58" s="87"/>
    </row>
    <row r="59" spans="2:10" s="15" customFormat="1" x14ac:dyDescent="0.25">
      <c r="B59" s="87"/>
      <c r="C59" s="87"/>
      <c r="D59" s="87"/>
      <c r="E59" s="87"/>
      <c r="F59" s="87"/>
      <c r="G59" s="87"/>
      <c r="H59" s="87"/>
    </row>
    <row r="60" spans="2:10" s="15" customFormat="1" x14ac:dyDescent="0.25">
      <c r="B60" s="87"/>
      <c r="C60" s="87"/>
      <c r="D60" s="87"/>
      <c r="E60" s="87"/>
      <c r="F60" s="87"/>
      <c r="G60" s="87"/>
      <c r="H60" s="87"/>
    </row>
    <row r="61" spans="2:10" s="15" customFormat="1" x14ac:dyDescent="0.25">
      <c r="B61" s="87"/>
      <c r="C61" s="87"/>
      <c r="D61" s="87"/>
      <c r="E61" s="87"/>
      <c r="F61" s="87"/>
      <c r="G61" s="87"/>
      <c r="H61" s="87"/>
    </row>
    <row r="62" spans="2:10" s="15" customFormat="1" x14ac:dyDescent="0.25">
      <c r="B62" s="87"/>
      <c r="C62" s="87"/>
      <c r="D62" s="87"/>
      <c r="E62" s="87"/>
      <c r="F62" s="87"/>
      <c r="G62" s="87"/>
      <c r="H62" s="87"/>
    </row>
    <row r="63" spans="2:10" s="15" customFormat="1" x14ac:dyDescent="0.25">
      <c r="B63" s="87"/>
      <c r="C63" s="87"/>
      <c r="D63" s="87"/>
      <c r="E63" s="87"/>
      <c r="F63" s="87"/>
      <c r="G63" s="87"/>
      <c r="H63" s="87"/>
    </row>
    <row r="64" spans="2:10" s="15" customFormat="1" x14ac:dyDescent="0.25">
      <c r="B64" s="87"/>
      <c r="C64" s="87"/>
      <c r="D64" s="87"/>
      <c r="E64" s="87"/>
      <c r="F64" s="87"/>
      <c r="G64" s="87"/>
      <c r="H64" s="87"/>
    </row>
    <row r="65" spans="2:8" s="15" customFormat="1" x14ac:dyDescent="0.25">
      <c r="B65" s="87"/>
      <c r="C65" s="87"/>
      <c r="D65" s="87"/>
      <c r="E65" s="87"/>
      <c r="F65" s="87"/>
      <c r="G65" s="87"/>
      <c r="H65" s="87"/>
    </row>
    <row r="66" spans="2:8" s="15" customFormat="1" x14ac:dyDescent="0.25">
      <c r="B66" s="87"/>
      <c r="C66" s="87"/>
      <c r="D66" s="87"/>
      <c r="E66" s="87"/>
      <c r="F66" s="87"/>
      <c r="G66" s="87"/>
      <c r="H66" s="87"/>
    </row>
    <row r="67" spans="2:8" s="15" customFormat="1" x14ac:dyDescent="0.25">
      <c r="B67" s="87"/>
      <c r="C67" s="87"/>
      <c r="D67" s="87"/>
      <c r="E67" s="87"/>
      <c r="F67" s="87"/>
      <c r="G67" s="87"/>
      <c r="H67" s="87"/>
    </row>
    <row r="68" spans="2:8" s="15" customFormat="1" x14ac:dyDescent="0.25">
      <c r="B68" s="87"/>
      <c r="C68" s="87"/>
      <c r="D68" s="87"/>
      <c r="E68" s="87"/>
      <c r="F68" s="87"/>
      <c r="G68" s="87"/>
      <c r="H68" s="87"/>
    </row>
    <row r="69" spans="2:8" s="15" customFormat="1" x14ac:dyDescent="0.25">
      <c r="B69" s="87"/>
      <c r="C69" s="87"/>
      <c r="D69" s="87"/>
      <c r="E69" s="87"/>
      <c r="F69" s="87"/>
      <c r="G69" s="87"/>
      <c r="H69" s="87"/>
    </row>
    <row r="70" spans="2:8" s="15" customFormat="1" x14ac:dyDescent="0.25">
      <c r="B70" s="87"/>
      <c r="C70" s="87"/>
      <c r="D70" s="87"/>
      <c r="E70" s="87"/>
      <c r="F70" s="87"/>
      <c r="G70" s="87"/>
      <c r="H70" s="87"/>
    </row>
    <row r="71" spans="2:8" s="15" customFormat="1" x14ac:dyDescent="0.25">
      <c r="B71" s="87"/>
      <c r="C71" s="87"/>
      <c r="D71" s="87"/>
      <c r="E71" s="87"/>
      <c r="F71" s="87"/>
      <c r="G71" s="87"/>
      <c r="H71" s="87"/>
    </row>
    <row r="72" spans="2:8" s="15" customFormat="1" x14ac:dyDescent="0.25">
      <c r="B72" s="87"/>
      <c r="C72" s="87"/>
      <c r="D72" s="87"/>
      <c r="E72" s="87"/>
      <c r="F72" s="87"/>
      <c r="G72" s="87"/>
      <c r="H72" s="87"/>
    </row>
    <row r="73" spans="2:8" s="15" customFormat="1" x14ac:dyDescent="0.25">
      <c r="B73" s="87"/>
      <c r="C73" s="87"/>
      <c r="D73" s="87"/>
      <c r="E73" s="87"/>
      <c r="F73" s="87"/>
      <c r="G73" s="87"/>
      <c r="H73" s="87"/>
    </row>
    <row r="74" spans="2:8" s="15" customFormat="1" x14ac:dyDescent="0.25">
      <c r="B74" s="87"/>
      <c r="C74" s="87"/>
      <c r="D74" s="87"/>
      <c r="E74" s="87"/>
      <c r="F74" s="87"/>
      <c r="G74" s="87"/>
      <c r="H74" s="87"/>
    </row>
    <row r="75" spans="2:8" s="15" customFormat="1" x14ac:dyDescent="0.25">
      <c r="B75" s="87"/>
      <c r="C75" s="87"/>
      <c r="D75" s="87"/>
      <c r="E75" s="87"/>
      <c r="F75" s="87"/>
      <c r="G75" s="87"/>
      <c r="H75" s="87"/>
    </row>
    <row r="76" spans="2:8" s="15" customFormat="1" x14ac:dyDescent="0.25">
      <c r="B76" s="87"/>
      <c r="C76" s="87"/>
      <c r="D76" s="87"/>
      <c r="E76" s="87"/>
      <c r="F76" s="87"/>
      <c r="G76" s="87"/>
      <c r="H76" s="87"/>
    </row>
    <row r="77" spans="2:8" s="15" customFormat="1" x14ac:dyDescent="0.25">
      <c r="B77" s="87"/>
      <c r="C77" s="87"/>
      <c r="D77" s="87"/>
      <c r="E77" s="87"/>
      <c r="F77" s="87"/>
      <c r="G77" s="87"/>
      <c r="H77" s="87"/>
    </row>
    <row r="78" spans="2:8" s="15" customFormat="1" x14ac:dyDescent="0.25">
      <c r="B78" s="87"/>
      <c r="C78" s="87"/>
      <c r="D78" s="87"/>
      <c r="E78" s="87"/>
      <c r="F78" s="87"/>
      <c r="G78" s="87"/>
      <c r="H78" s="87"/>
    </row>
    <row r="79" spans="2:8" s="15" customFormat="1" x14ac:dyDescent="0.25">
      <c r="B79" s="87"/>
      <c r="C79" s="87"/>
      <c r="D79" s="87"/>
      <c r="E79" s="87"/>
      <c r="F79" s="87"/>
      <c r="G79" s="87"/>
      <c r="H79" s="87"/>
    </row>
    <row r="80" spans="2:8" s="15" customFormat="1" x14ac:dyDescent="0.25">
      <c r="B80" s="87"/>
      <c r="C80" s="87"/>
      <c r="D80" s="87"/>
      <c r="E80" s="87"/>
      <c r="F80" s="87"/>
      <c r="G80" s="87"/>
      <c r="H80" s="87"/>
    </row>
    <row r="81" spans="2:8" s="15" customFormat="1" x14ac:dyDescent="0.25">
      <c r="B81" s="87"/>
      <c r="C81" s="87"/>
      <c r="D81" s="87"/>
      <c r="E81" s="87"/>
      <c r="F81" s="87"/>
      <c r="G81" s="87"/>
      <c r="H81" s="87"/>
    </row>
    <row r="82" spans="2:8" s="15" customFormat="1" x14ac:dyDescent="0.25">
      <c r="B82" s="87"/>
      <c r="C82" s="87"/>
      <c r="D82" s="87"/>
      <c r="E82" s="87"/>
      <c r="F82" s="87"/>
      <c r="G82" s="87"/>
      <c r="H82" s="87"/>
    </row>
    <row r="83" spans="2:8" s="15" customFormat="1" x14ac:dyDescent="0.25">
      <c r="B83" s="87"/>
      <c r="C83" s="87"/>
      <c r="D83" s="87"/>
      <c r="E83" s="87"/>
      <c r="F83" s="87"/>
      <c r="G83" s="87"/>
      <c r="H83" s="87"/>
    </row>
    <row r="84" spans="2:8" s="15" customFormat="1" x14ac:dyDescent="0.25">
      <c r="B84" s="87"/>
      <c r="C84" s="87"/>
      <c r="D84" s="87"/>
      <c r="E84" s="87"/>
      <c r="F84" s="87"/>
      <c r="G84" s="87"/>
      <c r="H84" s="87"/>
    </row>
    <row r="85" spans="2:8" s="15" customFormat="1" x14ac:dyDescent="0.25">
      <c r="B85" s="87"/>
      <c r="C85" s="87"/>
      <c r="D85" s="87"/>
      <c r="E85" s="87"/>
      <c r="F85" s="87"/>
      <c r="G85" s="87"/>
      <c r="H85" s="87"/>
    </row>
    <row r="86" spans="2:8" s="15" customFormat="1" x14ac:dyDescent="0.25">
      <c r="B86" s="87"/>
      <c r="C86" s="87"/>
      <c r="D86" s="87"/>
      <c r="E86" s="87"/>
      <c r="F86" s="87"/>
      <c r="G86" s="87"/>
      <c r="H86" s="87"/>
    </row>
    <row r="87" spans="2:8" s="15" customFormat="1" x14ac:dyDescent="0.25">
      <c r="B87" s="87"/>
      <c r="C87" s="87"/>
      <c r="D87" s="87"/>
      <c r="E87" s="87"/>
      <c r="F87" s="87"/>
      <c r="G87" s="87"/>
      <c r="H87" s="87"/>
    </row>
    <row r="88" spans="2:8" s="15" customFormat="1" x14ac:dyDescent="0.25">
      <c r="B88" s="87"/>
      <c r="C88" s="87"/>
      <c r="D88" s="87"/>
      <c r="E88" s="87"/>
      <c r="F88" s="87"/>
      <c r="G88" s="87"/>
      <c r="H88" s="87"/>
    </row>
    <row r="89" spans="2:8" s="15" customFormat="1" x14ac:dyDescent="0.25">
      <c r="B89" s="87"/>
      <c r="C89" s="87"/>
      <c r="D89" s="87"/>
      <c r="E89" s="87"/>
      <c r="F89" s="87"/>
      <c r="G89" s="87"/>
      <c r="H89" s="87"/>
    </row>
    <row r="90" spans="2:8" s="15" customFormat="1" x14ac:dyDescent="0.25">
      <c r="B90" s="87"/>
      <c r="C90" s="87"/>
      <c r="D90" s="87"/>
      <c r="E90" s="87"/>
      <c r="F90" s="87"/>
      <c r="G90" s="87"/>
      <c r="H90" s="87"/>
    </row>
    <row r="91" spans="2:8" s="15" customFormat="1" x14ac:dyDescent="0.25">
      <c r="B91" s="87"/>
      <c r="C91" s="87"/>
      <c r="D91" s="87"/>
      <c r="E91" s="87"/>
      <c r="F91" s="87"/>
      <c r="G91" s="87"/>
      <c r="H91" s="87"/>
    </row>
    <row r="92" spans="2:8" s="15" customFormat="1" x14ac:dyDescent="0.25">
      <c r="B92" s="87"/>
      <c r="C92" s="87"/>
      <c r="D92" s="87"/>
      <c r="E92" s="87"/>
      <c r="F92" s="87"/>
      <c r="G92" s="87"/>
      <c r="H92" s="87"/>
    </row>
    <row r="93" spans="2:8" s="15" customFormat="1" x14ac:dyDescent="0.25">
      <c r="B93" s="87"/>
      <c r="C93" s="87"/>
      <c r="D93" s="87"/>
      <c r="E93" s="87"/>
      <c r="F93" s="87"/>
      <c r="G93" s="87"/>
      <c r="H93" s="87"/>
    </row>
    <row r="94" spans="2:8" s="15" customFormat="1" x14ac:dyDescent="0.25">
      <c r="B94" s="87"/>
      <c r="C94" s="87"/>
      <c r="D94" s="87"/>
      <c r="E94" s="87"/>
      <c r="F94" s="87"/>
      <c r="G94" s="87"/>
      <c r="H94" s="87"/>
    </row>
    <row r="95" spans="2:8" s="15" customFormat="1" x14ac:dyDescent="0.25">
      <c r="B95" s="87"/>
      <c r="C95" s="87"/>
      <c r="D95" s="87"/>
      <c r="E95" s="87"/>
      <c r="F95" s="87"/>
      <c r="G95" s="87"/>
      <c r="H95" s="87"/>
    </row>
    <row r="96" spans="2:8" s="15" customFormat="1" x14ac:dyDescent="0.25">
      <c r="B96" s="87"/>
      <c r="C96" s="87"/>
      <c r="D96" s="87"/>
      <c r="E96" s="87"/>
      <c r="F96" s="87"/>
      <c r="G96" s="87"/>
      <c r="H96" s="87"/>
    </row>
    <row r="97" spans="2:8" s="15" customFormat="1" x14ac:dyDescent="0.25">
      <c r="B97" s="87"/>
      <c r="C97" s="87"/>
      <c r="D97" s="87"/>
      <c r="E97" s="87"/>
      <c r="F97" s="87"/>
      <c r="G97" s="87"/>
      <c r="H97" s="87"/>
    </row>
    <row r="98" spans="2:8" s="15" customFormat="1" x14ac:dyDescent="0.25">
      <c r="B98" s="87"/>
      <c r="C98" s="87"/>
      <c r="D98" s="87"/>
      <c r="E98" s="87"/>
      <c r="F98" s="87"/>
      <c r="G98" s="87"/>
      <c r="H98" s="87"/>
    </row>
    <row r="99" spans="2:8" s="15" customFormat="1" x14ac:dyDescent="0.25">
      <c r="B99" s="87"/>
      <c r="C99" s="87"/>
      <c r="D99" s="87"/>
      <c r="E99" s="87"/>
      <c r="F99" s="87"/>
      <c r="G99" s="87"/>
      <c r="H99" s="87"/>
    </row>
    <row r="100" spans="2:8" s="15" customFormat="1" x14ac:dyDescent="0.25">
      <c r="B100" s="87"/>
      <c r="C100" s="87"/>
      <c r="D100" s="87"/>
      <c r="E100" s="87"/>
      <c r="F100" s="87"/>
      <c r="G100" s="87"/>
      <c r="H100" s="87"/>
    </row>
    <row r="101" spans="2:8" s="15" customFormat="1" x14ac:dyDescent="0.25">
      <c r="B101" s="87"/>
      <c r="C101" s="87"/>
      <c r="D101" s="87"/>
      <c r="E101" s="87"/>
      <c r="F101" s="87"/>
      <c r="G101" s="87"/>
      <c r="H101" s="87"/>
    </row>
    <row r="102" spans="2:8" s="15" customFormat="1" x14ac:dyDescent="0.25">
      <c r="B102" s="87"/>
      <c r="C102" s="87"/>
      <c r="D102" s="87"/>
      <c r="E102" s="87"/>
      <c r="F102" s="87"/>
      <c r="G102" s="87"/>
      <c r="H102" s="87"/>
    </row>
    <row r="103" spans="2:8" s="15" customFormat="1" x14ac:dyDescent="0.25">
      <c r="B103" s="87"/>
      <c r="C103" s="87"/>
      <c r="D103" s="87"/>
      <c r="E103" s="87"/>
      <c r="F103" s="87"/>
      <c r="G103" s="87"/>
      <c r="H103" s="87"/>
    </row>
    <row r="104" spans="2:8" s="15" customFormat="1" x14ac:dyDescent="0.25">
      <c r="B104" s="87"/>
      <c r="C104" s="87"/>
      <c r="D104" s="87"/>
      <c r="E104" s="87"/>
      <c r="F104" s="87"/>
      <c r="G104" s="87"/>
      <c r="H104" s="87"/>
    </row>
    <row r="105" spans="2:8" s="15" customFormat="1" x14ac:dyDescent="0.25">
      <c r="B105" s="87"/>
      <c r="C105" s="87"/>
      <c r="D105" s="87"/>
      <c r="E105" s="87"/>
      <c r="F105" s="87"/>
      <c r="G105" s="87"/>
      <c r="H105" s="87"/>
    </row>
    <row r="106" spans="2:8" s="15" customFormat="1" x14ac:dyDescent="0.25">
      <c r="B106" s="87"/>
      <c r="C106" s="87"/>
      <c r="D106" s="87"/>
      <c r="E106" s="87"/>
      <c r="F106" s="87"/>
      <c r="G106" s="87"/>
      <c r="H106" s="87"/>
    </row>
    <row r="107" spans="2:8" s="15" customFormat="1" x14ac:dyDescent="0.25">
      <c r="B107" s="87"/>
      <c r="C107" s="87"/>
      <c r="D107" s="87"/>
      <c r="E107" s="87"/>
      <c r="F107" s="87"/>
      <c r="G107" s="87"/>
      <c r="H107" s="87"/>
    </row>
  </sheetData>
  <pageMargins left="0.75" right="0.75" top="1" bottom="1" header="0.5" footer="0.5"/>
  <pageSetup paperSize="9" orientation="portrait" horizontalDpi="4294967293" r:id="rId1"/>
  <headerFooter alignWithMargins="0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7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23.85546875" style="15" customWidth="1"/>
    <col min="2" max="16384" width="11.42578125" style="15"/>
  </cols>
  <sheetData>
    <row r="1" spans="1:4" x14ac:dyDescent="0.25">
      <c r="A1" s="83" t="s">
        <v>102</v>
      </c>
    </row>
    <row r="3" spans="1:4" x14ac:dyDescent="0.25">
      <c r="A3" s="15" t="s">
        <v>168</v>
      </c>
      <c r="B3" s="83">
        <v>36000</v>
      </c>
      <c r="D3" s="85">
        <f>B3/B6</f>
        <v>0.12458169964044337</v>
      </c>
    </row>
    <row r="4" spans="1:4" x14ac:dyDescent="0.25">
      <c r="A4" s="15" t="s">
        <v>169</v>
      </c>
      <c r="B4" s="83">
        <v>209000</v>
      </c>
      <c r="D4" s="85">
        <f>B4/B6</f>
        <v>0.72326597846812957</v>
      </c>
    </row>
    <row r="5" spans="1:4" x14ac:dyDescent="0.25">
      <c r="A5" s="15" t="s">
        <v>170</v>
      </c>
      <c r="B5" s="83">
        <v>43967</v>
      </c>
      <c r="D5" s="85">
        <f>B5/B6</f>
        <v>0.15215232189142705</v>
      </c>
    </row>
    <row r="6" spans="1:4" ht="15.75" thickBot="1" x14ac:dyDescent="0.3">
      <c r="A6" s="160" t="s">
        <v>18</v>
      </c>
      <c r="B6" s="46">
        <f>SUM(B3:B5)</f>
        <v>288967</v>
      </c>
      <c r="C6" s="160"/>
    </row>
    <row r="7" spans="1:4" ht="15.75" thickTop="1" x14ac:dyDescent="0.25"/>
  </sheetData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28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12.42578125" style="163" customWidth="1"/>
    <col min="2" max="2" width="10.85546875" style="148" customWidth="1"/>
    <col min="3" max="12" width="7" style="148" customWidth="1"/>
    <col min="13" max="13" width="7" style="163" customWidth="1"/>
    <col min="14" max="16384" width="11.42578125" style="163"/>
  </cols>
  <sheetData>
    <row r="1" spans="1:13" x14ac:dyDescent="0.25">
      <c r="A1" s="83" t="s">
        <v>102</v>
      </c>
    </row>
    <row r="2" spans="1:13" x14ac:dyDescent="0.25">
      <c r="A2" s="83"/>
    </row>
    <row r="3" spans="1:13" x14ac:dyDescent="0.25">
      <c r="A3" s="15" t="s">
        <v>8</v>
      </c>
    </row>
    <row r="4" spans="1:13" x14ac:dyDescent="0.25">
      <c r="B4" s="195" t="s">
        <v>53</v>
      </c>
      <c r="C4" s="195"/>
      <c r="D4" s="195"/>
      <c r="E4" s="195"/>
      <c r="F4" s="195"/>
      <c r="G4" s="195"/>
      <c r="H4" s="195"/>
      <c r="I4" s="195"/>
      <c r="J4" s="195"/>
      <c r="K4" s="195"/>
      <c r="L4" s="195"/>
    </row>
    <row r="5" spans="1:13" x14ac:dyDescent="0.25">
      <c r="B5" s="149">
        <v>0</v>
      </c>
      <c r="C5" s="111">
        <v>1</v>
      </c>
      <c r="D5" s="111">
        <v>2</v>
      </c>
      <c r="E5" s="111">
        <v>3</v>
      </c>
      <c r="F5" s="111">
        <v>4</v>
      </c>
      <c r="G5" s="111">
        <v>5</v>
      </c>
      <c r="H5" s="111">
        <v>6</v>
      </c>
      <c r="I5" s="111">
        <v>7</v>
      </c>
      <c r="J5" s="111">
        <v>8</v>
      </c>
      <c r="K5" s="111">
        <v>9</v>
      </c>
      <c r="L5" s="111">
        <v>10</v>
      </c>
      <c r="M5" s="15"/>
    </row>
    <row r="6" spans="1:13" x14ac:dyDescent="0.25">
      <c r="A6" s="15" t="s">
        <v>22</v>
      </c>
      <c r="B6" s="148">
        <f>'Tabell 5.16'!B11</f>
        <v>2000</v>
      </c>
      <c r="C6" s="148">
        <f>'Tabell 5.16'!C11</f>
        <v>1848.2640835592324</v>
      </c>
      <c r="D6" s="148">
        <f>'Tabell 5.16'!D11</f>
        <v>1687.4240121320186</v>
      </c>
      <c r="E6" s="148">
        <f>'Tabell 5.16'!E11</f>
        <v>1516.933536419172</v>
      </c>
      <c r="F6" s="148">
        <f>'Tabell 5.16'!F11</f>
        <v>1336.2136321635546</v>
      </c>
      <c r="G6" s="148">
        <f>'Tabell 5.16'!G11</f>
        <v>1144.6505336526002</v>
      </c>
      <c r="H6" s="148">
        <f>'Tabell 5.16'!H11</f>
        <v>941.5936492309886</v>
      </c>
      <c r="I6" s="148">
        <f>'Tabell 5.16'!I11</f>
        <v>726.35335174408033</v>
      </c>
      <c r="J6" s="148">
        <f>'Tabell 5.16'!J11</f>
        <v>498.19863640795751</v>
      </c>
      <c r="K6" s="148">
        <f>'Tabell 5.16'!K11</f>
        <v>256.3546381516673</v>
      </c>
      <c r="L6" s="148">
        <f>'Tabell 5.16'!L11</f>
        <v>0</v>
      </c>
      <c r="M6" s="15"/>
    </row>
    <row r="7" spans="1:13" ht="15.75" thickBot="1" x14ac:dyDescent="0.3">
      <c r="A7" s="160" t="s">
        <v>20</v>
      </c>
      <c r="B7" s="150">
        <f>'Tabell 5.16'!B23</f>
        <v>2000</v>
      </c>
      <c r="C7" s="150">
        <f>'Tabell 5.16'!C23:L23</f>
        <v>1800</v>
      </c>
      <c r="D7" s="150">
        <f>'Tabell 5.16'!D23:M23</f>
        <v>1600</v>
      </c>
      <c r="E7" s="150">
        <f>'Tabell 5.16'!E23:N23</f>
        <v>1400</v>
      </c>
      <c r="F7" s="150">
        <f>'Tabell 5.16'!F23:O23</f>
        <v>1200</v>
      </c>
      <c r="G7" s="150">
        <f>'Tabell 5.16'!G23:P23</f>
        <v>1000</v>
      </c>
      <c r="H7" s="150">
        <f>'Tabell 5.16'!H23:Q23</f>
        <v>800</v>
      </c>
      <c r="I7" s="150">
        <f>'Tabell 5.16'!I23:R23</f>
        <v>600</v>
      </c>
      <c r="J7" s="150">
        <f>'Tabell 5.16'!J23:S23</f>
        <v>400</v>
      </c>
      <c r="K7" s="150">
        <f>'Tabell 5.16'!K23:T23</f>
        <v>200</v>
      </c>
      <c r="L7" s="150">
        <f>'Tabell 5.16'!L23:U23</f>
        <v>0</v>
      </c>
      <c r="M7" s="15"/>
    </row>
    <row r="8" spans="1:13" ht="15.75" thickTop="1" x14ac:dyDescent="0.25"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15"/>
    </row>
    <row r="9" spans="1:13" x14ac:dyDescent="0.25"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15"/>
    </row>
    <row r="10" spans="1:13" x14ac:dyDescent="0.25"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15"/>
    </row>
    <row r="11" spans="1:13" x14ac:dyDescent="0.25"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15"/>
    </row>
    <row r="12" spans="1:13" x14ac:dyDescent="0.25"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15"/>
    </row>
    <row r="13" spans="1:13" x14ac:dyDescent="0.25"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15"/>
    </row>
    <row r="14" spans="1:13" x14ac:dyDescent="0.25"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15"/>
    </row>
    <row r="28" spans="7:7" x14ac:dyDescent="0.25">
      <c r="G28" s="148" t="s">
        <v>0</v>
      </c>
    </row>
  </sheetData>
  <mergeCells count="1">
    <mergeCell ref="B4:L4"/>
  </mergeCells>
  <phoneticPr fontId="1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O126"/>
  <sheetViews>
    <sheetView topLeftCell="A37" zoomScaleNormal="100" workbookViewId="0">
      <selection activeCell="A34" sqref="A1:XFD1048576"/>
    </sheetView>
  </sheetViews>
  <sheetFormatPr baseColWidth="10" defaultColWidth="11.42578125" defaultRowHeight="15" x14ac:dyDescent="0.25"/>
  <cols>
    <col min="1" max="1" width="12.42578125" style="39" customWidth="1"/>
    <col min="2" max="2" width="11.140625" style="39" customWidth="1"/>
    <col min="3" max="3" width="6.7109375" style="119" customWidth="1"/>
    <col min="4" max="32" width="4.85546875" style="119" customWidth="1"/>
    <col min="33" max="33" width="6.5703125" style="119" customWidth="1"/>
    <col min="34" max="34" width="8.28515625" style="119" customWidth="1"/>
    <col min="35" max="35" width="8" style="39" customWidth="1"/>
    <col min="36" max="36" width="7.85546875" style="39" customWidth="1"/>
    <col min="37" max="37" width="8.140625" style="39" customWidth="1"/>
    <col min="38" max="16384" width="11.42578125" style="39"/>
  </cols>
  <sheetData>
    <row r="1" spans="1:41" s="104" customFormat="1" x14ac:dyDescent="0.25">
      <c r="A1" s="83" t="s">
        <v>102</v>
      </c>
      <c r="C1" s="146"/>
      <c r="D1" s="107"/>
      <c r="E1" s="146"/>
      <c r="F1" s="146"/>
      <c r="G1" s="146"/>
      <c r="H1" s="146"/>
      <c r="I1" s="146"/>
      <c r="J1" s="146"/>
      <c r="K1" s="146"/>
      <c r="L1" s="146"/>
      <c r="M1" s="146"/>
      <c r="N1" s="107"/>
      <c r="O1" s="146"/>
      <c r="P1" s="146"/>
      <c r="Q1" s="146"/>
      <c r="R1" s="146"/>
      <c r="S1" s="146"/>
      <c r="T1" s="146"/>
      <c r="U1" s="146"/>
      <c r="V1" s="146"/>
      <c r="W1" s="146"/>
      <c r="X1" s="107"/>
      <c r="Y1" s="146"/>
      <c r="Z1" s="146"/>
      <c r="AA1" s="146"/>
      <c r="AB1" s="146"/>
      <c r="AC1" s="146"/>
      <c r="AD1" s="146"/>
      <c r="AE1" s="146"/>
      <c r="AF1" s="146"/>
      <c r="AG1" s="119"/>
      <c r="AH1" s="146"/>
    </row>
    <row r="2" spans="1:41" x14ac:dyDescent="0.25">
      <c r="A2" s="39" t="s">
        <v>3</v>
      </c>
      <c r="B2" s="108">
        <v>2000</v>
      </c>
    </row>
    <row r="3" spans="1:41" x14ac:dyDescent="0.25">
      <c r="A3" s="39" t="s">
        <v>6</v>
      </c>
      <c r="B3" s="125">
        <v>0.06</v>
      </c>
    </row>
    <row r="4" spans="1:41" x14ac:dyDescent="0.25">
      <c r="A4" s="39" t="s">
        <v>5</v>
      </c>
      <c r="B4" s="125">
        <v>0.27</v>
      </c>
    </row>
    <row r="5" spans="1:41" s="104" customFormat="1" x14ac:dyDescent="0.25">
      <c r="A5" s="39" t="s">
        <v>14</v>
      </c>
      <c r="B5" s="108">
        <v>30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19"/>
      <c r="AH5" s="146"/>
    </row>
    <row r="6" spans="1:41" s="104" customFormat="1" x14ac:dyDescent="0.25">
      <c r="A6" s="39"/>
      <c r="B6" s="108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19"/>
      <c r="AH6" s="146"/>
    </row>
    <row r="7" spans="1:41" s="104" customFormat="1" x14ac:dyDescent="0.25">
      <c r="B7" s="108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19"/>
      <c r="AH7" s="146"/>
    </row>
    <row r="8" spans="1:41" s="104" customFormat="1" x14ac:dyDescent="0.25">
      <c r="A8" s="39" t="s">
        <v>19</v>
      </c>
      <c r="B8" s="106"/>
      <c r="C8" s="119"/>
      <c r="D8" s="119"/>
      <c r="E8" s="119"/>
      <c r="F8" s="119"/>
      <c r="G8" s="119"/>
      <c r="H8" s="146"/>
      <c r="I8" s="107"/>
      <c r="J8" s="107"/>
      <c r="K8" s="107"/>
      <c r="L8" s="107"/>
      <c r="M8" s="119"/>
      <c r="N8" s="119"/>
      <c r="O8" s="119"/>
      <c r="P8" s="119"/>
      <c r="Q8" s="119"/>
      <c r="R8" s="146"/>
      <c r="S8" s="107"/>
      <c r="T8" s="107"/>
      <c r="U8" s="107"/>
      <c r="V8" s="107"/>
      <c r="W8" s="119"/>
      <c r="X8" s="119"/>
      <c r="Y8" s="119"/>
      <c r="Z8" s="119"/>
      <c r="AA8" s="119"/>
      <c r="AB8" s="146"/>
      <c r="AC8" s="107"/>
      <c r="AD8" s="107"/>
      <c r="AE8" s="107"/>
      <c r="AF8" s="107"/>
      <c r="AG8" s="119"/>
      <c r="AH8" s="119" t="s">
        <v>15</v>
      </c>
    </row>
    <row r="9" spans="1:41" s="109" customFormat="1" x14ac:dyDescent="0.25">
      <c r="A9" s="110"/>
      <c r="B9" s="128">
        <v>0</v>
      </c>
      <c r="C9" s="111">
        <v>1</v>
      </c>
      <c r="D9" s="111">
        <v>2</v>
      </c>
      <c r="E9" s="111">
        <v>3</v>
      </c>
      <c r="F9" s="111">
        <v>4</v>
      </c>
      <c r="G9" s="111">
        <v>5</v>
      </c>
      <c r="H9" s="111">
        <v>6</v>
      </c>
      <c r="I9" s="111">
        <v>7</v>
      </c>
      <c r="J9" s="111">
        <v>8</v>
      </c>
      <c r="K9" s="111">
        <v>9</v>
      </c>
      <c r="L9" s="111">
        <v>10</v>
      </c>
      <c r="M9" s="111">
        <v>11</v>
      </c>
      <c r="N9" s="111">
        <v>12</v>
      </c>
      <c r="O9" s="111">
        <v>13</v>
      </c>
      <c r="P9" s="111">
        <v>14</v>
      </c>
      <c r="Q9" s="111">
        <v>15</v>
      </c>
      <c r="R9" s="111">
        <v>16</v>
      </c>
      <c r="S9" s="111">
        <v>17</v>
      </c>
      <c r="T9" s="111">
        <v>18</v>
      </c>
      <c r="U9" s="111">
        <v>19</v>
      </c>
      <c r="V9" s="111">
        <v>20</v>
      </c>
      <c r="W9" s="111">
        <v>21</v>
      </c>
      <c r="X9" s="111">
        <v>22</v>
      </c>
      <c r="Y9" s="111">
        <v>23</v>
      </c>
      <c r="Z9" s="111">
        <v>24</v>
      </c>
      <c r="AA9" s="111">
        <v>25</v>
      </c>
      <c r="AB9" s="111">
        <v>26</v>
      </c>
      <c r="AC9" s="111">
        <v>27</v>
      </c>
      <c r="AD9" s="111">
        <v>28</v>
      </c>
      <c r="AE9" s="111">
        <v>29</v>
      </c>
      <c r="AF9" s="111">
        <v>30</v>
      </c>
      <c r="AG9" s="111" t="s">
        <v>18</v>
      </c>
      <c r="AH9" s="111" t="s">
        <v>2</v>
      </c>
      <c r="AI9" s="128"/>
      <c r="AJ9" s="128"/>
      <c r="AK9" s="128"/>
      <c r="AL9" s="128"/>
      <c r="AM9" s="128"/>
      <c r="AN9" s="128"/>
      <c r="AO9" s="128"/>
    </row>
    <row r="10" spans="1:41" s="104" customFormat="1" x14ac:dyDescent="0.25">
      <c r="A10" s="39" t="s">
        <v>7</v>
      </c>
      <c r="B10" s="164">
        <f>B2</f>
        <v>2000</v>
      </c>
      <c r="C10" s="148"/>
      <c r="D10" s="148"/>
      <c r="E10" s="148"/>
      <c r="F10" s="148"/>
      <c r="G10" s="148"/>
      <c r="H10" s="146"/>
      <c r="I10" s="107"/>
      <c r="J10" s="107"/>
      <c r="K10" s="107"/>
      <c r="L10" s="107"/>
      <c r="M10" s="148"/>
      <c r="N10" s="148"/>
      <c r="O10" s="148"/>
      <c r="P10" s="148"/>
      <c r="Q10" s="148"/>
      <c r="R10" s="146"/>
      <c r="S10" s="107"/>
      <c r="T10" s="107"/>
      <c r="U10" s="107"/>
      <c r="V10" s="107"/>
      <c r="W10" s="148"/>
      <c r="X10" s="148"/>
      <c r="Y10" s="148"/>
      <c r="Z10" s="148"/>
      <c r="AA10" s="148"/>
      <c r="AB10" s="146"/>
      <c r="AC10" s="107"/>
      <c r="AD10" s="107"/>
      <c r="AE10" s="107"/>
      <c r="AF10" s="107"/>
      <c r="AG10" s="119"/>
      <c r="AH10" s="119"/>
    </row>
    <row r="11" spans="1:41" s="104" customFormat="1" x14ac:dyDescent="0.25">
      <c r="A11" s="39" t="s">
        <v>16</v>
      </c>
      <c r="B11" s="164"/>
      <c r="C11" s="148">
        <f>-PMT(B3,B5,B2)</f>
        <v>145.29782298009442</v>
      </c>
      <c r="D11" s="148">
        <f t="shared" ref="D11:AF11" si="0">C11</f>
        <v>145.29782298009442</v>
      </c>
      <c r="E11" s="148">
        <f t="shared" si="0"/>
        <v>145.29782298009442</v>
      </c>
      <c r="F11" s="148">
        <f t="shared" si="0"/>
        <v>145.29782298009442</v>
      </c>
      <c r="G11" s="148">
        <f t="shared" si="0"/>
        <v>145.29782298009442</v>
      </c>
      <c r="H11" s="148">
        <f t="shared" si="0"/>
        <v>145.29782298009442</v>
      </c>
      <c r="I11" s="148">
        <f t="shared" si="0"/>
        <v>145.29782298009442</v>
      </c>
      <c r="J11" s="148">
        <f t="shared" si="0"/>
        <v>145.29782298009442</v>
      </c>
      <c r="K11" s="148">
        <f t="shared" si="0"/>
        <v>145.29782298009442</v>
      </c>
      <c r="L11" s="148">
        <f t="shared" si="0"/>
        <v>145.29782298009442</v>
      </c>
      <c r="M11" s="148">
        <f t="shared" si="0"/>
        <v>145.29782298009442</v>
      </c>
      <c r="N11" s="148">
        <f t="shared" si="0"/>
        <v>145.29782298009442</v>
      </c>
      <c r="O11" s="148">
        <f t="shared" si="0"/>
        <v>145.29782298009442</v>
      </c>
      <c r="P11" s="148">
        <f t="shared" si="0"/>
        <v>145.29782298009442</v>
      </c>
      <c r="Q11" s="148">
        <f t="shared" si="0"/>
        <v>145.29782298009442</v>
      </c>
      <c r="R11" s="148">
        <f t="shared" si="0"/>
        <v>145.29782298009442</v>
      </c>
      <c r="S11" s="148">
        <f t="shared" si="0"/>
        <v>145.29782298009442</v>
      </c>
      <c r="T11" s="148">
        <f t="shared" si="0"/>
        <v>145.29782298009442</v>
      </c>
      <c r="U11" s="148">
        <f t="shared" si="0"/>
        <v>145.29782298009442</v>
      </c>
      <c r="V11" s="148">
        <f t="shared" si="0"/>
        <v>145.29782298009442</v>
      </c>
      <c r="W11" s="148">
        <f t="shared" si="0"/>
        <v>145.29782298009442</v>
      </c>
      <c r="X11" s="148">
        <f t="shared" si="0"/>
        <v>145.29782298009442</v>
      </c>
      <c r="Y11" s="148">
        <f t="shared" si="0"/>
        <v>145.29782298009442</v>
      </c>
      <c r="Z11" s="148">
        <f t="shared" si="0"/>
        <v>145.29782298009442</v>
      </c>
      <c r="AA11" s="148">
        <f t="shared" si="0"/>
        <v>145.29782298009442</v>
      </c>
      <c r="AB11" s="148">
        <f t="shared" si="0"/>
        <v>145.29782298009442</v>
      </c>
      <c r="AC11" s="148">
        <f t="shared" si="0"/>
        <v>145.29782298009442</v>
      </c>
      <c r="AD11" s="148">
        <f t="shared" si="0"/>
        <v>145.29782298009442</v>
      </c>
      <c r="AE11" s="148">
        <f t="shared" si="0"/>
        <v>145.29782298009442</v>
      </c>
      <c r="AF11" s="148">
        <f t="shared" si="0"/>
        <v>145.29782298009442</v>
      </c>
      <c r="AG11" s="119">
        <f>SUM(C11:AF11)</f>
        <v>4358.9346894028304</v>
      </c>
      <c r="AH11" s="119"/>
    </row>
    <row r="12" spans="1:41" s="104" customFormat="1" x14ac:dyDescent="0.25">
      <c r="A12" s="39" t="s">
        <v>8</v>
      </c>
      <c r="B12" s="164">
        <f>B10</f>
        <v>2000</v>
      </c>
      <c r="C12" s="148">
        <f t="shared" ref="C12:AF12" si="1">B12+C13</f>
        <v>1974.7021770199055</v>
      </c>
      <c r="D12" s="148">
        <f t="shared" si="1"/>
        <v>1947.8864846610054</v>
      </c>
      <c r="E12" s="148">
        <f t="shared" si="1"/>
        <v>1919.4618507605712</v>
      </c>
      <c r="F12" s="148">
        <f t="shared" si="1"/>
        <v>1889.3317388261112</v>
      </c>
      <c r="G12" s="148">
        <f t="shared" si="1"/>
        <v>1857.3938201755834</v>
      </c>
      <c r="H12" s="148">
        <f t="shared" si="1"/>
        <v>1823.5396264060239</v>
      </c>
      <c r="I12" s="148">
        <f t="shared" si="1"/>
        <v>1787.6541810102908</v>
      </c>
      <c r="J12" s="148">
        <f t="shared" si="1"/>
        <v>1749.6156088908137</v>
      </c>
      <c r="K12" s="148">
        <f t="shared" si="1"/>
        <v>1709.2947224441682</v>
      </c>
      <c r="L12" s="148">
        <f t="shared" si="1"/>
        <v>1666.5545828107238</v>
      </c>
      <c r="M12" s="148">
        <f t="shared" si="1"/>
        <v>1621.2500347992727</v>
      </c>
      <c r="N12" s="148">
        <f t="shared" si="1"/>
        <v>1573.2272139071347</v>
      </c>
      <c r="O12" s="148">
        <f t="shared" si="1"/>
        <v>1522.3230237614684</v>
      </c>
      <c r="P12" s="148">
        <f t="shared" si="1"/>
        <v>1468.3645822070621</v>
      </c>
      <c r="Q12" s="148">
        <f t="shared" si="1"/>
        <v>1411.1686341593913</v>
      </c>
      <c r="R12" s="148">
        <f t="shared" si="1"/>
        <v>1350.5409292288605</v>
      </c>
      <c r="S12" s="148">
        <f t="shared" si="1"/>
        <v>1286.2755620024977</v>
      </c>
      <c r="T12" s="148">
        <f t="shared" si="1"/>
        <v>1218.1542727425531</v>
      </c>
      <c r="U12" s="148">
        <f t="shared" si="1"/>
        <v>1145.9457061270118</v>
      </c>
      <c r="V12" s="148">
        <f t="shared" si="1"/>
        <v>1069.4046255145381</v>
      </c>
      <c r="W12" s="148">
        <f t="shared" si="1"/>
        <v>988.27108006531603</v>
      </c>
      <c r="X12" s="148">
        <f t="shared" si="1"/>
        <v>902.26952188914061</v>
      </c>
      <c r="Y12" s="148">
        <f t="shared" si="1"/>
        <v>811.10787022239458</v>
      </c>
      <c r="Z12" s="148">
        <f t="shared" si="1"/>
        <v>714.47651945564382</v>
      </c>
      <c r="AA12" s="148">
        <f t="shared" si="1"/>
        <v>612.04728764288802</v>
      </c>
      <c r="AB12" s="148">
        <f t="shared" si="1"/>
        <v>503.47230192136686</v>
      </c>
      <c r="AC12" s="148">
        <f t="shared" si="1"/>
        <v>388.38281705655447</v>
      </c>
      <c r="AD12" s="148">
        <f t="shared" si="1"/>
        <v>266.38796309985332</v>
      </c>
      <c r="AE12" s="148">
        <f t="shared" si="1"/>
        <v>137.07341790575009</v>
      </c>
      <c r="AF12" s="148">
        <f t="shared" si="1"/>
        <v>6.8212102632969618E-13</v>
      </c>
      <c r="AG12" s="119"/>
      <c r="AH12" s="119"/>
    </row>
    <row r="13" spans="1:41" s="104" customFormat="1" x14ac:dyDescent="0.25">
      <c r="A13" s="39" t="s">
        <v>9</v>
      </c>
      <c r="B13" s="164"/>
      <c r="C13" s="148">
        <f t="shared" ref="C13:AF13" si="2">-C11-C14</f>
        <v>-25.297822980094423</v>
      </c>
      <c r="D13" s="148">
        <f t="shared" si="2"/>
        <v>-26.815692358900094</v>
      </c>
      <c r="E13" s="148">
        <f t="shared" si="2"/>
        <v>-28.424633900434102</v>
      </c>
      <c r="F13" s="148">
        <f t="shared" si="2"/>
        <v>-30.13011193446016</v>
      </c>
      <c r="G13" s="148">
        <f t="shared" si="2"/>
        <v>-31.937918650527763</v>
      </c>
      <c r="H13" s="148">
        <f t="shared" si="2"/>
        <v>-33.854193769559416</v>
      </c>
      <c r="I13" s="148">
        <f t="shared" si="2"/>
        <v>-35.885445395732987</v>
      </c>
      <c r="J13" s="148">
        <f t="shared" si="2"/>
        <v>-38.038572119476981</v>
      </c>
      <c r="K13" s="148">
        <f t="shared" si="2"/>
        <v>-40.320886446645602</v>
      </c>
      <c r="L13" s="148">
        <f t="shared" si="2"/>
        <v>-42.740139633444329</v>
      </c>
      <c r="M13" s="148">
        <f t="shared" si="2"/>
        <v>-45.304548011451004</v>
      </c>
      <c r="N13" s="148">
        <f t="shared" si="2"/>
        <v>-48.022820892138057</v>
      </c>
      <c r="O13" s="148">
        <f t="shared" si="2"/>
        <v>-50.904190145666348</v>
      </c>
      <c r="P13" s="148">
        <f t="shared" si="2"/>
        <v>-53.958441554406321</v>
      </c>
      <c r="Q13" s="148">
        <f t="shared" si="2"/>
        <v>-57.195948047670697</v>
      </c>
      <c r="R13" s="148">
        <f t="shared" si="2"/>
        <v>-60.627704930530953</v>
      </c>
      <c r="S13" s="148">
        <f t="shared" si="2"/>
        <v>-64.265367226362798</v>
      </c>
      <c r="T13" s="148">
        <f t="shared" si="2"/>
        <v>-68.121289259944561</v>
      </c>
      <c r="U13" s="148">
        <f t="shared" si="2"/>
        <v>-72.208566615541244</v>
      </c>
      <c r="V13" s="148">
        <f t="shared" si="2"/>
        <v>-76.541080612473721</v>
      </c>
      <c r="W13" s="148">
        <f t="shared" si="2"/>
        <v>-81.13354544922214</v>
      </c>
      <c r="X13" s="148">
        <f t="shared" si="2"/>
        <v>-86.001558176175465</v>
      </c>
      <c r="Y13" s="148">
        <f t="shared" si="2"/>
        <v>-91.161651666745996</v>
      </c>
      <c r="Z13" s="148">
        <f t="shared" si="2"/>
        <v>-96.631350766750757</v>
      </c>
      <c r="AA13" s="148">
        <f t="shared" si="2"/>
        <v>-102.4292318127558</v>
      </c>
      <c r="AB13" s="148">
        <f t="shared" si="2"/>
        <v>-108.57498572152114</v>
      </c>
      <c r="AC13" s="148">
        <f t="shared" si="2"/>
        <v>-115.08948486481242</v>
      </c>
      <c r="AD13" s="148">
        <f t="shared" si="2"/>
        <v>-121.99485395670115</v>
      </c>
      <c r="AE13" s="148">
        <f t="shared" si="2"/>
        <v>-129.31454519410323</v>
      </c>
      <c r="AF13" s="148">
        <f t="shared" si="2"/>
        <v>-137.07341790574941</v>
      </c>
      <c r="AG13" s="119">
        <f>SUM(C13:AF13)</f>
        <v>-1999.9999999999991</v>
      </c>
      <c r="AH13" s="119"/>
    </row>
    <row r="14" spans="1:41" s="104" customFormat="1" x14ac:dyDescent="0.25">
      <c r="A14" s="39" t="s">
        <v>10</v>
      </c>
      <c r="B14" s="164"/>
      <c r="C14" s="148">
        <f t="shared" ref="C14:AF14" si="3">-$B$3*B12</f>
        <v>-120</v>
      </c>
      <c r="D14" s="148">
        <f t="shared" si="3"/>
        <v>-118.48213062119433</v>
      </c>
      <c r="E14" s="148">
        <f t="shared" si="3"/>
        <v>-116.87318907966032</v>
      </c>
      <c r="F14" s="148">
        <f t="shared" si="3"/>
        <v>-115.16771104563426</v>
      </c>
      <c r="G14" s="148">
        <f t="shared" si="3"/>
        <v>-113.35990432956666</v>
      </c>
      <c r="H14" s="148">
        <f t="shared" si="3"/>
        <v>-111.44362921053501</v>
      </c>
      <c r="I14" s="148">
        <f t="shared" si="3"/>
        <v>-109.41237758436144</v>
      </c>
      <c r="J14" s="148">
        <f t="shared" si="3"/>
        <v>-107.25925086061744</v>
      </c>
      <c r="K14" s="148">
        <f t="shared" si="3"/>
        <v>-104.97693653344882</v>
      </c>
      <c r="L14" s="148">
        <f t="shared" si="3"/>
        <v>-102.55768334665009</v>
      </c>
      <c r="M14" s="148">
        <f t="shared" si="3"/>
        <v>-99.993274968643419</v>
      </c>
      <c r="N14" s="148">
        <f t="shared" si="3"/>
        <v>-97.275002087956366</v>
      </c>
      <c r="O14" s="148">
        <f t="shared" si="3"/>
        <v>-94.393632834428075</v>
      </c>
      <c r="P14" s="148">
        <f t="shared" si="3"/>
        <v>-91.339381425688103</v>
      </c>
      <c r="Q14" s="148">
        <f t="shared" si="3"/>
        <v>-88.101874932423726</v>
      </c>
      <c r="R14" s="148">
        <f t="shared" si="3"/>
        <v>-84.67011804956347</v>
      </c>
      <c r="S14" s="148">
        <f t="shared" si="3"/>
        <v>-81.032455753731625</v>
      </c>
      <c r="T14" s="148">
        <f t="shared" si="3"/>
        <v>-77.176533720149862</v>
      </c>
      <c r="U14" s="148">
        <f t="shared" si="3"/>
        <v>-73.089256364553179</v>
      </c>
      <c r="V14" s="148">
        <f t="shared" si="3"/>
        <v>-68.756742367620703</v>
      </c>
      <c r="W14" s="148">
        <f t="shared" si="3"/>
        <v>-64.164277530872283</v>
      </c>
      <c r="X14" s="148">
        <f t="shared" si="3"/>
        <v>-59.296264803918959</v>
      </c>
      <c r="Y14" s="148">
        <f t="shared" si="3"/>
        <v>-54.136171313348434</v>
      </c>
      <c r="Z14" s="148">
        <f t="shared" si="3"/>
        <v>-48.666472213343674</v>
      </c>
      <c r="AA14" s="148">
        <f t="shared" si="3"/>
        <v>-42.868591167338629</v>
      </c>
      <c r="AB14" s="148">
        <f t="shared" si="3"/>
        <v>-36.722837258573279</v>
      </c>
      <c r="AC14" s="148">
        <f t="shared" si="3"/>
        <v>-30.208338115282011</v>
      </c>
      <c r="AD14" s="148">
        <f t="shared" si="3"/>
        <v>-23.302969023393267</v>
      </c>
      <c r="AE14" s="148">
        <f t="shared" si="3"/>
        <v>-15.983277785991199</v>
      </c>
      <c r="AF14" s="148">
        <f t="shared" si="3"/>
        <v>-8.2244050743450057</v>
      </c>
      <c r="AG14" s="119">
        <f>SUM(C14:AF14)</f>
        <v>-2358.934689402834</v>
      </c>
      <c r="AH14" s="119"/>
    </row>
    <row r="15" spans="1:41" s="104" customFormat="1" x14ac:dyDescent="0.25">
      <c r="A15" s="39" t="s">
        <v>1</v>
      </c>
      <c r="B15" s="164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19"/>
      <c r="AH15" s="119"/>
      <c r="AL15" s="104" t="s">
        <v>0</v>
      </c>
    </row>
    <row r="16" spans="1:41" s="104" customFormat="1" x14ac:dyDescent="0.25">
      <c r="A16" s="110" t="s">
        <v>11</v>
      </c>
      <c r="B16" s="165">
        <f>B10</f>
        <v>2000</v>
      </c>
      <c r="C16" s="149">
        <f t="shared" ref="C16:AF16" si="4">C13+C14</f>
        <v>-145.29782298009442</v>
      </c>
      <c r="D16" s="149">
        <f t="shared" si="4"/>
        <v>-145.29782298009442</v>
      </c>
      <c r="E16" s="149">
        <f t="shared" si="4"/>
        <v>-145.29782298009442</v>
      </c>
      <c r="F16" s="149">
        <f t="shared" si="4"/>
        <v>-145.29782298009442</v>
      </c>
      <c r="G16" s="149">
        <f t="shared" si="4"/>
        <v>-145.29782298009442</v>
      </c>
      <c r="H16" s="149">
        <f t="shared" si="4"/>
        <v>-145.29782298009442</v>
      </c>
      <c r="I16" s="149">
        <f t="shared" si="4"/>
        <v>-145.29782298009442</v>
      </c>
      <c r="J16" s="149">
        <f t="shared" si="4"/>
        <v>-145.29782298009442</v>
      </c>
      <c r="K16" s="149">
        <f t="shared" si="4"/>
        <v>-145.29782298009442</v>
      </c>
      <c r="L16" s="149">
        <f t="shared" si="4"/>
        <v>-145.29782298009442</v>
      </c>
      <c r="M16" s="149">
        <f t="shared" si="4"/>
        <v>-145.29782298009442</v>
      </c>
      <c r="N16" s="149">
        <f t="shared" si="4"/>
        <v>-145.29782298009442</v>
      </c>
      <c r="O16" s="149">
        <f t="shared" si="4"/>
        <v>-145.29782298009442</v>
      </c>
      <c r="P16" s="149">
        <f t="shared" si="4"/>
        <v>-145.29782298009442</v>
      </c>
      <c r="Q16" s="149">
        <f t="shared" si="4"/>
        <v>-145.29782298009442</v>
      </c>
      <c r="R16" s="149">
        <f t="shared" si="4"/>
        <v>-145.29782298009442</v>
      </c>
      <c r="S16" s="149">
        <f t="shared" si="4"/>
        <v>-145.29782298009442</v>
      </c>
      <c r="T16" s="149">
        <f t="shared" si="4"/>
        <v>-145.29782298009442</v>
      </c>
      <c r="U16" s="149">
        <f t="shared" si="4"/>
        <v>-145.29782298009442</v>
      </c>
      <c r="V16" s="149">
        <f t="shared" si="4"/>
        <v>-145.29782298009442</v>
      </c>
      <c r="W16" s="149">
        <f t="shared" si="4"/>
        <v>-145.29782298009442</v>
      </c>
      <c r="X16" s="149">
        <f t="shared" si="4"/>
        <v>-145.29782298009442</v>
      </c>
      <c r="Y16" s="149">
        <f t="shared" si="4"/>
        <v>-145.29782298009442</v>
      </c>
      <c r="Z16" s="149">
        <f t="shared" si="4"/>
        <v>-145.29782298009442</v>
      </c>
      <c r="AA16" s="149">
        <f t="shared" si="4"/>
        <v>-145.29782298009442</v>
      </c>
      <c r="AB16" s="149">
        <f t="shared" si="4"/>
        <v>-145.29782298009442</v>
      </c>
      <c r="AC16" s="149">
        <f t="shared" si="4"/>
        <v>-145.29782298009442</v>
      </c>
      <c r="AD16" s="149">
        <f t="shared" si="4"/>
        <v>-145.29782298009442</v>
      </c>
      <c r="AE16" s="149">
        <f t="shared" si="4"/>
        <v>-145.29782298009442</v>
      </c>
      <c r="AF16" s="149">
        <f t="shared" si="4"/>
        <v>-145.29782298009442</v>
      </c>
      <c r="AG16" s="111">
        <f>SUM(C16:AF16)</f>
        <v>-4358.9346894028304</v>
      </c>
      <c r="AH16" s="123">
        <f>IRR(B16:AF16)</f>
        <v>6.0000000001527054E-2</v>
      </c>
    </row>
    <row r="17" spans="1:37" s="104" customFormat="1" x14ac:dyDescent="0.25">
      <c r="A17" s="39" t="s">
        <v>12</v>
      </c>
      <c r="B17" s="164"/>
      <c r="C17" s="148">
        <f t="shared" ref="C17:AF17" si="5">-$B$4*C14</f>
        <v>32.400000000000006</v>
      </c>
      <c r="D17" s="148">
        <f t="shared" si="5"/>
        <v>31.990175267722471</v>
      </c>
      <c r="E17" s="148">
        <f t="shared" si="5"/>
        <v>31.555761051508288</v>
      </c>
      <c r="F17" s="148">
        <f t="shared" si="5"/>
        <v>31.095281982321254</v>
      </c>
      <c r="G17" s="148">
        <f t="shared" si="5"/>
        <v>30.607174168983001</v>
      </c>
      <c r="H17" s="148">
        <f t="shared" si="5"/>
        <v>30.089779886844454</v>
      </c>
      <c r="I17" s="148">
        <f t="shared" si="5"/>
        <v>29.541341947777589</v>
      </c>
      <c r="J17" s="148">
        <f t="shared" si="5"/>
        <v>28.959997732366713</v>
      </c>
      <c r="K17" s="148">
        <f t="shared" si="5"/>
        <v>28.343772864031184</v>
      </c>
      <c r="L17" s="148">
        <f t="shared" si="5"/>
        <v>27.690574503595528</v>
      </c>
      <c r="M17" s="148">
        <f t="shared" si="5"/>
        <v>26.998184241533725</v>
      </c>
      <c r="N17" s="148">
        <f t="shared" si="5"/>
        <v>26.26425056374822</v>
      </c>
      <c r="O17" s="148">
        <f t="shared" si="5"/>
        <v>25.486280865295583</v>
      </c>
      <c r="P17" s="148">
        <f t="shared" si="5"/>
        <v>24.661632984935789</v>
      </c>
      <c r="Q17" s="148">
        <f t="shared" si="5"/>
        <v>23.787506231754406</v>
      </c>
      <c r="R17" s="148">
        <f t="shared" si="5"/>
        <v>22.860931873382139</v>
      </c>
      <c r="S17" s="148">
        <f t="shared" si="5"/>
        <v>21.878763053507541</v>
      </c>
      <c r="T17" s="148">
        <f t="shared" si="5"/>
        <v>20.837664104440464</v>
      </c>
      <c r="U17" s="148">
        <f t="shared" si="5"/>
        <v>19.73409921842936</v>
      </c>
      <c r="V17" s="148">
        <f t="shared" si="5"/>
        <v>18.564320439257592</v>
      </c>
      <c r="W17" s="148">
        <f t="shared" si="5"/>
        <v>17.324354933335517</v>
      </c>
      <c r="X17" s="148">
        <f t="shared" si="5"/>
        <v>16.00999149705812</v>
      </c>
      <c r="Y17" s="148">
        <f t="shared" si="5"/>
        <v>14.616766254604078</v>
      </c>
      <c r="Z17" s="148">
        <f t="shared" si="5"/>
        <v>13.139947497602792</v>
      </c>
      <c r="AA17" s="148">
        <f t="shared" si="5"/>
        <v>11.57451961518143</v>
      </c>
      <c r="AB17" s="148">
        <f t="shared" si="5"/>
        <v>9.9151660598147853</v>
      </c>
      <c r="AC17" s="148">
        <f t="shared" si="5"/>
        <v>8.1562512911261429</v>
      </c>
      <c r="AD17" s="148">
        <f t="shared" si="5"/>
        <v>6.2918016363161824</v>
      </c>
      <c r="AE17" s="148">
        <f t="shared" si="5"/>
        <v>4.3154850022176241</v>
      </c>
      <c r="AF17" s="148">
        <f t="shared" si="5"/>
        <v>2.2205893700731516</v>
      </c>
      <c r="AG17" s="119">
        <f>SUM(C17:AF17)</f>
        <v>636.91236613876526</v>
      </c>
      <c r="AH17" s="91"/>
    </row>
    <row r="18" spans="1:37" s="104" customFormat="1" x14ac:dyDescent="0.25">
      <c r="A18" s="39" t="s">
        <v>1</v>
      </c>
      <c r="B18" s="164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19"/>
      <c r="AH18" s="91"/>
    </row>
    <row r="19" spans="1:37" s="104" customFormat="1" x14ac:dyDescent="0.25">
      <c r="A19" s="110" t="s">
        <v>13</v>
      </c>
      <c r="B19" s="165">
        <f t="shared" ref="B19:G19" si="6">B16+B17</f>
        <v>2000</v>
      </c>
      <c r="C19" s="149">
        <f t="shared" si="6"/>
        <v>-112.89782298009442</v>
      </c>
      <c r="D19" s="149">
        <f t="shared" si="6"/>
        <v>-113.30764771237196</v>
      </c>
      <c r="E19" s="149">
        <f t="shared" si="6"/>
        <v>-113.74206192858614</v>
      </c>
      <c r="F19" s="149">
        <f t="shared" si="6"/>
        <v>-114.20254099777317</v>
      </c>
      <c r="G19" s="149">
        <f t="shared" si="6"/>
        <v>-114.69064881111143</v>
      </c>
      <c r="H19" s="149">
        <f t="shared" ref="H19:AF19" si="7">H16+H17</f>
        <v>-115.20804309324997</v>
      </c>
      <c r="I19" s="149">
        <f t="shared" si="7"/>
        <v>-115.75648103231683</v>
      </c>
      <c r="J19" s="149">
        <f t="shared" si="7"/>
        <v>-116.33782524772771</v>
      </c>
      <c r="K19" s="149">
        <f t="shared" si="7"/>
        <v>-116.95405011606324</v>
      </c>
      <c r="L19" s="149">
        <f t="shared" si="7"/>
        <v>-117.6072484764989</v>
      </c>
      <c r="M19" s="149">
        <f t="shared" si="7"/>
        <v>-118.2996387385607</v>
      </c>
      <c r="N19" s="149">
        <f t="shared" si="7"/>
        <v>-119.0335724163462</v>
      </c>
      <c r="O19" s="149">
        <f t="shared" si="7"/>
        <v>-119.81154211479884</v>
      </c>
      <c r="P19" s="149">
        <f t="shared" si="7"/>
        <v>-120.63618999515863</v>
      </c>
      <c r="Q19" s="149">
        <f t="shared" si="7"/>
        <v>-121.51031674834002</v>
      </c>
      <c r="R19" s="149">
        <f t="shared" si="7"/>
        <v>-122.43689110671228</v>
      </c>
      <c r="S19" s="149">
        <f t="shared" si="7"/>
        <v>-123.41905992658688</v>
      </c>
      <c r="T19" s="149">
        <f t="shared" si="7"/>
        <v>-124.46015887565396</v>
      </c>
      <c r="U19" s="149">
        <f t="shared" si="7"/>
        <v>-125.56372376166506</v>
      </c>
      <c r="V19" s="149">
        <f t="shared" si="7"/>
        <v>-126.73350254083684</v>
      </c>
      <c r="W19" s="149">
        <f t="shared" si="7"/>
        <v>-127.97346804675891</v>
      </c>
      <c r="X19" s="149">
        <f t="shared" si="7"/>
        <v>-129.28783148303631</v>
      </c>
      <c r="Y19" s="149">
        <f t="shared" si="7"/>
        <v>-130.68105672549035</v>
      </c>
      <c r="Z19" s="149">
        <f t="shared" si="7"/>
        <v>-132.15787548249162</v>
      </c>
      <c r="AA19" s="149">
        <f t="shared" si="7"/>
        <v>-133.72330336491299</v>
      </c>
      <c r="AB19" s="149">
        <f t="shared" si="7"/>
        <v>-135.38265692027963</v>
      </c>
      <c r="AC19" s="149">
        <f t="shared" si="7"/>
        <v>-137.14157168896827</v>
      </c>
      <c r="AD19" s="149">
        <f t="shared" si="7"/>
        <v>-139.00602134377823</v>
      </c>
      <c r="AE19" s="149">
        <f t="shared" si="7"/>
        <v>-140.9823379778768</v>
      </c>
      <c r="AF19" s="149">
        <f t="shared" si="7"/>
        <v>-143.07723361002127</v>
      </c>
      <c r="AG19" s="111">
        <f>SUM(C19:AF19)</f>
        <v>-3722.0223232640683</v>
      </c>
      <c r="AH19" s="123">
        <f>IRR(B19:AF19)</f>
        <v>4.3799999998730188E-2</v>
      </c>
    </row>
    <row r="20" spans="1:37" s="104" customFormat="1" x14ac:dyDescent="0.25">
      <c r="B20" s="108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19"/>
      <c r="AH20" s="146"/>
    </row>
    <row r="21" spans="1:37" s="104" customFormat="1" x14ac:dyDescent="0.25">
      <c r="A21" s="39" t="s">
        <v>105</v>
      </c>
      <c r="B21" s="106"/>
      <c r="C21" s="119"/>
      <c r="D21" s="119"/>
      <c r="E21" s="119"/>
      <c r="F21" s="119"/>
      <c r="G21" s="119"/>
      <c r="H21" s="146"/>
      <c r="I21" s="107"/>
      <c r="J21" s="107"/>
      <c r="K21" s="107"/>
      <c r="L21" s="107"/>
      <c r="M21" s="119"/>
      <c r="N21" s="119"/>
      <c r="O21" s="119"/>
      <c r="P21" s="119"/>
      <c r="Q21" s="119"/>
      <c r="R21" s="146"/>
      <c r="S21" s="107"/>
      <c r="T21" s="107"/>
      <c r="U21" s="107"/>
      <c r="V21" s="107"/>
      <c r="W21" s="119"/>
      <c r="X21" s="119"/>
      <c r="Y21" s="119"/>
      <c r="Z21" s="119"/>
      <c r="AA21" s="119"/>
      <c r="AB21" s="146"/>
      <c r="AC21" s="107"/>
      <c r="AD21" s="107"/>
      <c r="AE21" s="107"/>
      <c r="AF21" s="107"/>
      <c r="AG21" s="119"/>
      <c r="AH21" s="119" t="s">
        <v>15</v>
      </c>
    </row>
    <row r="22" spans="1:37" s="15" customFormat="1" x14ac:dyDescent="0.25">
      <c r="A22" s="110"/>
      <c r="B22" s="128">
        <v>0</v>
      </c>
      <c r="C22" s="111">
        <v>1</v>
      </c>
      <c r="D22" s="111">
        <v>2</v>
      </c>
      <c r="E22" s="111">
        <v>3</v>
      </c>
      <c r="F22" s="111">
        <v>4</v>
      </c>
      <c r="G22" s="111">
        <v>5</v>
      </c>
      <c r="H22" s="111">
        <v>6</v>
      </c>
      <c r="I22" s="111">
        <v>7</v>
      </c>
      <c r="J22" s="111">
        <v>8</v>
      </c>
      <c r="K22" s="111">
        <v>9</v>
      </c>
      <c r="L22" s="111">
        <v>10</v>
      </c>
      <c r="M22" s="111">
        <v>11</v>
      </c>
      <c r="N22" s="111">
        <v>12</v>
      </c>
      <c r="O22" s="111">
        <v>13</v>
      </c>
      <c r="P22" s="111">
        <v>14</v>
      </c>
      <c r="Q22" s="111">
        <v>15</v>
      </c>
      <c r="R22" s="111">
        <v>16</v>
      </c>
      <c r="S22" s="111">
        <v>17</v>
      </c>
      <c r="T22" s="111">
        <v>18</v>
      </c>
      <c r="U22" s="111">
        <v>19</v>
      </c>
      <c r="V22" s="111">
        <v>20</v>
      </c>
      <c r="W22" s="111">
        <v>21</v>
      </c>
      <c r="X22" s="111">
        <v>22</v>
      </c>
      <c r="Y22" s="111">
        <v>23</v>
      </c>
      <c r="Z22" s="111">
        <v>24</v>
      </c>
      <c r="AA22" s="111">
        <v>25</v>
      </c>
      <c r="AB22" s="111">
        <v>26</v>
      </c>
      <c r="AC22" s="111">
        <v>27</v>
      </c>
      <c r="AD22" s="111">
        <v>28</v>
      </c>
      <c r="AE22" s="111">
        <v>29</v>
      </c>
      <c r="AF22" s="111">
        <v>30</v>
      </c>
      <c r="AG22" s="111" t="s">
        <v>18</v>
      </c>
      <c r="AH22" s="111" t="s">
        <v>2</v>
      </c>
    </row>
    <row r="23" spans="1:37" s="15" customFormat="1" x14ac:dyDescent="0.25">
      <c r="A23" s="39" t="s">
        <v>7</v>
      </c>
      <c r="B23" s="164">
        <f>B2</f>
        <v>2000</v>
      </c>
      <c r="C23" s="148"/>
      <c r="D23" s="148"/>
      <c r="E23" s="148"/>
      <c r="F23" s="148" t="s">
        <v>0</v>
      </c>
      <c r="G23" s="148"/>
      <c r="H23" s="146"/>
      <c r="I23" s="107"/>
      <c r="J23" s="107"/>
      <c r="K23" s="107"/>
      <c r="L23" s="107"/>
      <c r="M23" s="148"/>
      <c r="N23" s="148"/>
      <c r="O23" s="148"/>
      <c r="P23" s="148"/>
      <c r="Q23" s="148"/>
      <c r="R23" s="146"/>
      <c r="S23" s="107"/>
      <c r="T23" s="107"/>
      <c r="U23" s="107"/>
      <c r="V23" s="107"/>
      <c r="W23" s="148"/>
      <c r="X23" s="148"/>
      <c r="Y23" s="148"/>
      <c r="Z23" s="148"/>
      <c r="AA23" s="148"/>
      <c r="AB23" s="146"/>
      <c r="AC23" s="107"/>
      <c r="AD23" s="107"/>
      <c r="AE23" s="107"/>
      <c r="AF23" s="107"/>
      <c r="AG23" s="119"/>
      <c r="AH23" s="119"/>
    </row>
    <row r="24" spans="1:37" s="15" customFormat="1" x14ac:dyDescent="0.25">
      <c r="A24" s="39" t="s">
        <v>8</v>
      </c>
      <c r="B24" s="164">
        <f>B23</f>
        <v>2000</v>
      </c>
      <c r="C24" s="148">
        <f t="shared" ref="C24:AF24" si="8">B24+C25</f>
        <v>1933.3333333333333</v>
      </c>
      <c r="D24" s="148">
        <f t="shared" si="8"/>
        <v>1866.6666666666665</v>
      </c>
      <c r="E24" s="148">
        <f t="shared" si="8"/>
        <v>1799.9999999999998</v>
      </c>
      <c r="F24" s="148">
        <f t="shared" si="8"/>
        <v>1733.333333333333</v>
      </c>
      <c r="G24" s="148">
        <f t="shared" si="8"/>
        <v>1666.6666666666663</v>
      </c>
      <c r="H24" s="148">
        <f t="shared" si="8"/>
        <v>1599.9999999999995</v>
      </c>
      <c r="I24" s="148">
        <f t="shared" si="8"/>
        <v>1533.3333333333328</v>
      </c>
      <c r="J24" s="148">
        <f t="shared" si="8"/>
        <v>1466.6666666666661</v>
      </c>
      <c r="K24" s="148">
        <f t="shared" si="8"/>
        <v>1399.9999999999993</v>
      </c>
      <c r="L24" s="148">
        <f t="shared" si="8"/>
        <v>1333.3333333333326</v>
      </c>
      <c r="M24" s="148">
        <f t="shared" si="8"/>
        <v>1266.6666666666658</v>
      </c>
      <c r="N24" s="148">
        <f t="shared" si="8"/>
        <v>1199.9999999999991</v>
      </c>
      <c r="O24" s="148">
        <f t="shared" si="8"/>
        <v>1133.3333333333323</v>
      </c>
      <c r="P24" s="148">
        <f t="shared" si="8"/>
        <v>1066.6666666666656</v>
      </c>
      <c r="Q24" s="148">
        <f t="shared" si="8"/>
        <v>999.99999999999898</v>
      </c>
      <c r="R24" s="148">
        <f t="shared" si="8"/>
        <v>933.33333333333235</v>
      </c>
      <c r="S24" s="148">
        <f t="shared" si="8"/>
        <v>866.66666666666572</v>
      </c>
      <c r="T24" s="148">
        <f t="shared" si="8"/>
        <v>799.99999999999909</v>
      </c>
      <c r="U24" s="148">
        <f t="shared" si="8"/>
        <v>733.33333333333246</v>
      </c>
      <c r="V24" s="148">
        <f t="shared" si="8"/>
        <v>666.66666666666583</v>
      </c>
      <c r="W24" s="148">
        <f t="shared" si="8"/>
        <v>599.9999999999992</v>
      </c>
      <c r="X24" s="148">
        <f t="shared" si="8"/>
        <v>533.33333333333258</v>
      </c>
      <c r="Y24" s="148">
        <f t="shared" si="8"/>
        <v>466.66666666666589</v>
      </c>
      <c r="Z24" s="148">
        <f t="shared" si="8"/>
        <v>399.9999999999992</v>
      </c>
      <c r="AA24" s="148">
        <f t="shared" si="8"/>
        <v>333.33333333333252</v>
      </c>
      <c r="AB24" s="148">
        <f t="shared" si="8"/>
        <v>266.66666666666583</v>
      </c>
      <c r="AC24" s="148">
        <f t="shared" si="8"/>
        <v>199.99999999999915</v>
      </c>
      <c r="AD24" s="148">
        <f t="shared" si="8"/>
        <v>133.33333333333246</v>
      </c>
      <c r="AE24" s="148">
        <f t="shared" si="8"/>
        <v>66.66666666666579</v>
      </c>
      <c r="AF24" s="148">
        <f t="shared" si="8"/>
        <v>-8.8107299234252423E-13</v>
      </c>
      <c r="AG24" s="119"/>
      <c r="AH24" s="119"/>
      <c r="AK24" s="15" t="s">
        <v>0</v>
      </c>
    </row>
    <row r="25" spans="1:37" s="15" customFormat="1" x14ac:dyDescent="0.25">
      <c r="A25" s="39" t="s">
        <v>9</v>
      </c>
      <c r="B25" s="164"/>
      <c r="C25" s="148">
        <f>-B2/B5</f>
        <v>-66.666666666666671</v>
      </c>
      <c r="D25" s="148">
        <f>C25</f>
        <v>-66.666666666666671</v>
      </c>
      <c r="E25" s="148">
        <f t="shared" ref="E25:AF25" si="9">D25</f>
        <v>-66.666666666666671</v>
      </c>
      <c r="F25" s="148">
        <f t="shared" si="9"/>
        <v>-66.666666666666671</v>
      </c>
      <c r="G25" s="148">
        <f t="shared" si="9"/>
        <v>-66.666666666666671</v>
      </c>
      <c r="H25" s="148">
        <f t="shared" si="9"/>
        <v>-66.666666666666671</v>
      </c>
      <c r="I25" s="148">
        <f t="shared" si="9"/>
        <v>-66.666666666666671</v>
      </c>
      <c r="J25" s="148">
        <f t="shared" si="9"/>
        <v>-66.666666666666671</v>
      </c>
      <c r="K25" s="148">
        <f t="shared" si="9"/>
        <v>-66.666666666666671</v>
      </c>
      <c r="L25" s="148">
        <f t="shared" si="9"/>
        <v>-66.666666666666671</v>
      </c>
      <c r="M25" s="148">
        <f t="shared" si="9"/>
        <v>-66.666666666666671</v>
      </c>
      <c r="N25" s="148">
        <f t="shared" si="9"/>
        <v>-66.666666666666671</v>
      </c>
      <c r="O25" s="148">
        <f t="shared" si="9"/>
        <v>-66.666666666666671</v>
      </c>
      <c r="P25" s="148">
        <f t="shared" si="9"/>
        <v>-66.666666666666671</v>
      </c>
      <c r="Q25" s="148">
        <f t="shared" si="9"/>
        <v>-66.666666666666671</v>
      </c>
      <c r="R25" s="148">
        <f t="shared" si="9"/>
        <v>-66.666666666666671</v>
      </c>
      <c r="S25" s="148">
        <f t="shared" si="9"/>
        <v>-66.666666666666671</v>
      </c>
      <c r="T25" s="148">
        <f t="shared" si="9"/>
        <v>-66.666666666666671</v>
      </c>
      <c r="U25" s="148">
        <f t="shared" si="9"/>
        <v>-66.666666666666671</v>
      </c>
      <c r="V25" s="148">
        <f t="shared" si="9"/>
        <v>-66.666666666666671</v>
      </c>
      <c r="W25" s="148">
        <f t="shared" si="9"/>
        <v>-66.666666666666671</v>
      </c>
      <c r="X25" s="148">
        <f t="shared" si="9"/>
        <v>-66.666666666666671</v>
      </c>
      <c r="Y25" s="148">
        <f t="shared" si="9"/>
        <v>-66.666666666666671</v>
      </c>
      <c r="Z25" s="148">
        <f t="shared" si="9"/>
        <v>-66.666666666666671</v>
      </c>
      <c r="AA25" s="148">
        <f t="shared" si="9"/>
        <v>-66.666666666666671</v>
      </c>
      <c r="AB25" s="148">
        <f t="shared" si="9"/>
        <v>-66.666666666666671</v>
      </c>
      <c r="AC25" s="148">
        <f t="shared" si="9"/>
        <v>-66.666666666666671</v>
      </c>
      <c r="AD25" s="148">
        <f t="shared" si="9"/>
        <v>-66.666666666666671</v>
      </c>
      <c r="AE25" s="148">
        <f t="shared" si="9"/>
        <v>-66.666666666666671</v>
      </c>
      <c r="AF25" s="148">
        <f t="shared" si="9"/>
        <v>-66.666666666666671</v>
      </c>
      <c r="AG25" s="119">
        <f>SUM(C25:AF25)</f>
        <v>-2000.0000000000009</v>
      </c>
      <c r="AH25" s="119"/>
    </row>
    <row r="26" spans="1:37" s="15" customFormat="1" x14ac:dyDescent="0.25">
      <c r="A26" s="39" t="s">
        <v>10</v>
      </c>
      <c r="B26" s="164"/>
      <c r="C26" s="148">
        <f t="shared" ref="C26:AF26" si="10">-$B$3*B24</f>
        <v>-120</v>
      </c>
      <c r="D26" s="148">
        <f t="shared" si="10"/>
        <v>-115.99999999999999</v>
      </c>
      <c r="E26" s="148">
        <f t="shared" si="10"/>
        <v>-111.99999999999999</v>
      </c>
      <c r="F26" s="148">
        <f t="shared" si="10"/>
        <v>-107.99999999999999</v>
      </c>
      <c r="G26" s="148">
        <f t="shared" si="10"/>
        <v>-103.99999999999997</v>
      </c>
      <c r="H26" s="148">
        <f t="shared" si="10"/>
        <v>-99.999999999999972</v>
      </c>
      <c r="I26" s="148">
        <f t="shared" si="10"/>
        <v>-95.999999999999972</v>
      </c>
      <c r="J26" s="148">
        <f t="shared" si="10"/>
        <v>-91.999999999999972</v>
      </c>
      <c r="K26" s="148">
        <f t="shared" si="10"/>
        <v>-87.999999999999957</v>
      </c>
      <c r="L26" s="148">
        <f t="shared" si="10"/>
        <v>-83.999999999999957</v>
      </c>
      <c r="M26" s="148">
        <f t="shared" si="10"/>
        <v>-79.999999999999957</v>
      </c>
      <c r="N26" s="148">
        <f t="shared" si="10"/>
        <v>-75.999999999999943</v>
      </c>
      <c r="O26" s="148">
        <f t="shared" si="10"/>
        <v>-71.999999999999943</v>
      </c>
      <c r="P26" s="148">
        <f t="shared" si="10"/>
        <v>-67.999999999999943</v>
      </c>
      <c r="Q26" s="148">
        <f t="shared" si="10"/>
        <v>-63.999999999999936</v>
      </c>
      <c r="R26" s="148">
        <f t="shared" si="10"/>
        <v>-59.999999999999936</v>
      </c>
      <c r="S26" s="148">
        <f t="shared" si="10"/>
        <v>-55.999999999999936</v>
      </c>
      <c r="T26" s="148">
        <f t="shared" si="10"/>
        <v>-51.999999999999943</v>
      </c>
      <c r="U26" s="148">
        <f t="shared" si="10"/>
        <v>-47.999999999999943</v>
      </c>
      <c r="V26" s="148">
        <f t="shared" si="10"/>
        <v>-43.999999999999943</v>
      </c>
      <c r="W26" s="148">
        <f t="shared" si="10"/>
        <v>-39.99999999999995</v>
      </c>
      <c r="X26" s="148">
        <f t="shared" si="10"/>
        <v>-35.99999999999995</v>
      </c>
      <c r="Y26" s="148">
        <f t="shared" si="10"/>
        <v>-31.999999999999954</v>
      </c>
      <c r="Z26" s="148">
        <f t="shared" si="10"/>
        <v>-27.999999999999954</v>
      </c>
      <c r="AA26" s="148">
        <f t="shared" si="10"/>
        <v>-23.99999999999995</v>
      </c>
      <c r="AB26" s="148">
        <f t="shared" si="10"/>
        <v>-19.99999999999995</v>
      </c>
      <c r="AC26" s="148">
        <f t="shared" si="10"/>
        <v>-15.99999999999995</v>
      </c>
      <c r="AD26" s="148">
        <f t="shared" si="10"/>
        <v>-11.999999999999948</v>
      </c>
      <c r="AE26" s="148">
        <f t="shared" si="10"/>
        <v>-7.9999999999999476</v>
      </c>
      <c r="AF26" s="148">
        <f t="shared" si="10"/>
        <v>-3.9999999999999472</v>
      </c>
      <c r="AG26" s="119">
        <f>SUM(C26:AF26)</f>
        <v>-1860</v>
      </c>
      <c r="AH26" s="119"/>
    </row>
    <row r="27" spans="1:37" s="15" customFormat="1" x14ac:dyDescent="0.25">
      <c r="A27" s="39" t="s">
        <v>1</v>
      </c>
      <c r="B27" s="164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19"/>
      <c r="AH27" s="119"/>
    </row>
    <row r="28" spans="1:37" s="15" customFormat="1" x14ac:dyDescent="0.25">
      <c r="A28" s="110" t="s">
        <v>11</v>
      </c>
      <c r="B28" s="165">
        <f>B23</f>
        <v>2000</v>
      </c>
      <c r="C28" s="149">
        <f t="shared" ref="C28:AF28" si="11">C25+C26</f>
        <v>-186.66666666666669</v>
      </c>
      <c r="D28" s="149">
        <f t="shared" si="11"/>
        <v>-182.66666666666666</v>
      </c>
      <c r="E28" s="149">
        <f t="shared" si="11"/>
        <v>-178.66666666666666</v>
      </c>
      <c r="F28" s="149">
        <f t="shared" si="11"/>
        <v>-174.66666666666666</v>
      </c>
      <c r="G28" s="149">
        <f t="shared" si="11"/>
        <v>-170.66666666666663</v>
      </c>
      <c r="H28" s="149">
        <f t="shared" si="11"/>
        <v>-166.66666666666663</v>
      </c>
      <c r="I28" s="149">
        <f t="shared" si="11"/>
        <v>-162.66666666666663</v>
      </c>
      <c r="J28" s="149">
        <f t="shared" si="11"/>
        <v>-158.66666666666663</v>
      </c>
      <c r="K28" s="149">
        <f t="shared" si="11"/>
        <v>-154.66666666666663</v>
      </c>
      <c r="L28" s="149">
        <f t="shared" si="11"/>
        <v>-150.66666666666663</v>
      </c>
      <c r="M28" s="149">
        <f t="shared" si="11"/>
        <v>-146.66666666666663</v>
      </c>
      <c r="N28" s="149">
        <f t="shared" si="11"/>
        <v>-142.66666666666663</v>
      </c>
      <c r="O28" s="149">
        <f t="shared" si="11"/>
        <v>-138.66666666666663</v>
      </c>
      <c r="P28" s="149">
        <f t="shared" si="11"/>
        <v>-134.66666666666663</v>
      </c>
      <c r="Q28" s="149">
        <f t="shared" si="11"/>
        <v>-130.6666666666666</v>
      </c>
      <c r="R28" s="149">
        <f t="shared" si="11"/>
        <v>-126.6666666666666</v>
      </c>
      <c r="S28" s="149">
        <f t="shared" si="11"/>
        <v>-122.6666666666666</v>
      </c>
      <c r="T28" s="149">
        <f t="shared" si="11"/>
        <v>-118.66666666666661</v>
      </c>
      <c r="U28" s="149">
        <f t="shared" si="11"/>
        <v>-114.66666666666661</v>
      </c>
      <c r="V28" s="149">
        <f t="shared" si="11"/>
        <v>-110.66666666666661</v>
      </c>
      <c r="W28" s="149">
        <f t="shared" si="11"/>
        <v>-106.66666666666663</v>
      </c>
      <c r="X28" s="149">
        <f t="shared" si="11"/>
        <v>-102.66666666666663</v>
      </c>
      <c r="Y28" s="149">
        <f t="shared" si="11"/>
        <v>-98.666666666666629</v>
      </c>
      <c r="Z28" s="149">
        <f t="shared" si="11"/>
        <v>-94.666666666666629</v>
      </c>
      <c r="AA28" s="149">
        <f t="shared" si="11"/>
        <v>-90.666666666666629</v>
      </c>
      <c r="AB28" s="149">
        <f t="shared" si="11"/>
        <v>-86.666666666666629</v>
      </c>
      <c r="AC28" s="149">
        <f t="shared" si="11"/>
        <v>-82.666666666666629</v>
      </c>
      <c r="AD28" s="149">
        <f t="shared" si="11"/>
        <v>-78.666666666666615</v>
      </c>
      <c r="AE28" s="149">
        <f t="shared" si="11"/>
        <v>-74.666666666666615</v>
      </c>
      <c r="AF28" s="149">
        <f t="shared" si="11"/>
        <v>-70.666666666666615</v>
      </c>
      <c r="AG28" s="111">
        <f>SUM(C28:AF28)</f>
        <v>-3859.9999999999964</v>
      </c>
      <c r="AH28" s="123">
        <f>IRR(B28:AF28)</f>
        <v>6.0000000000087983E-2</v>
      </c>
    </row>
    <row r="29" spans="1:37" s="15" customFormat="1" x14ac:dyDescent="0.25">
      <c r="A29" s="39" t="s">
        <v>12</v>
      </c>
      <c r="B29" s="164"/>
      <c r="C29" s="148">
        <f t="shared" ref="C29:AF29" si="12">-$B$4*C26</f>
        <v>32.400000000000006</v>
      </c>
      <c r="D29" s="148">
        <f t="shared" si="12"/>
        <v>31.319999999999997</v>
      </c>
      <c r="E29" s="148">
        <f t="shared" si="12"/>
        <v>30.24</v>
      </c>
      <c r="F29" s="148">
        <f t="shared" si="12"/>
        <v>29.159999999999997</v>
      </c>
      <c r="G29" s="148">
        <f t="shared" si="12"/>
        <v>28.079999999999995</v>
      </c>
      <c r="H29" s="148">
        <f t="shared" si="12"/>
        <v>26.999999999999993</v>
      </c>
      <c r="I29" s="148">
        <f t="shared" si="12"/>
        <v>25.919999999999995</v>
      </c>
      <c r="J29" s="148">
        <f t="shared" si="12"/>
        <v>24.839999999999993</v>
      </c>
      <c r="K29" s="148">
        <f t="shared" si="12"/>
        <v>23.759999999999991</v>
      </c>
      <c r="L29" s="148">
        <f t="shared" si="12"/>
        <v>22.679999999999989</v>
      </c>
      <c r="M29" s="148">
        <f t="shared" si="12"/>
        <v>21.599999999999991</v>
      </c>
      <c r="N29" s="148">
        <f t="shared" si="12"/>
        <v>20.519999999999985</v>
      </c>
      <c r="O29" s="148">
        <f t="shared" si="12"/>
        <v>19.439999999999987</v>
      </c>
      <c r="P29" s="148">
        <f t="shared" si="12"/>
        <v>18.359999999999985</v>
      </c>
      <c r="Q29" s="148">
        <f t="shared" si="12"/>
        <v>17.279999999999983</v>
      </c>
      <c r="R29" s="148">
        <f t="shared" si="12"/>
        <v>16.199999999999985</v>
      </c>
      <c r="S29" s="148">
        <f t="shared" si="12"/>
        <v>15.119999999999983</v>
      </c>
      <c r="T29" s="148">
        <f t="shared" si="12"/>
        <v>14.039999999999985</v>
      </c>
      <c r="U29" s="148">
        <f t="shared" si="12"/>
        <v>12.959999999999985</v>
      </c>
      <c r="V29" s="148">
        <f t="shared" si="12"/>
        <v>11.879999999999985</v>
      </c>
      <c r="W29" s="148">
        <f t="shared" si="12"/>
        <v>10.799999999999986</v>
      </c>
      <c r="X29" s="148">
        <f t="shared" si="12"/>
        <v>9.7199999999999864</v>
      </c>
      <c r="Y29" s="148">
        <f t="shared" si="12"/>
        <v>8.6399999999999881</v>
      </c>
      <c r="Z29" s="148">
        <f t="shared" si="12"/>
        <v>7.5599999999999881</v>
      </c>
      <c r="AA29" s="148">
        <f t="shared" si="12"/>
        <v>6.4799999999999871</v>
      </c>
      <c r="AB29" s="148">
        <f t="shared" si="12"/>
        <v>5.399999999999987</v>
      </c>
      <c r="AC29" s="148">
        <f t="shared" si="12"/>
        <v>4.319999999999987</v>
      </c>
      <c r="AD29" s="148">
        <f t="shared" si="12"/>
        <v>3.2399999999999864</v>
      </c>
      <c r="AE29" s="148">
        <f t="shared" si="12"/>
        <v>2.1599999999999859</v>
      </c>
      <c r="AF29" s="148">
        <f t="shared" si="12"/>
        <v>1.0799999999999859</v>
      </c>
      <c r="AG29" s="119">
        <f>SUM(C29:AF29)</f>
        <v>502.1999999999997</v>
      </c>
      <c r="AH29" s="91"/>
    </row>
    <row r="30" spans="1:37" s="15" customFormat="1" x14ac:dyDescent="0.25">
      <c r="A30" s="39" t="s">
        <v>1</v>
      </c>
      <c r="B30" s="164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19"/>
      <c r="AH30" s="91"/>
    </row>
    <row r="31" spans="1:37" s="15" customFormat="1" x14ac:dyDescent="0.25">
      <c r="A31" s="110" t="s">
        <v>13</v>
      </c>
      <c r="B31" s="165">
        <f t="shared" ref="B31:AF31" si="13">B28+B29</f>
        <v>2000</v>
      </c>
      <c r="C31" s="149">
        <f t="shared" si="13"/>
        <v>-154.26666666666668</v>
      </c>
      <c r="D31" s="149">
        <f t="shared" si="13"/>
        <v>-151.34666666666666</v>
      </c>
      <c r="E31" s="149">
        <f t="shared" si="13"/>
        <v>-148.42666666666665</v>
      </c>
      <c r="F31" s="149">
        <f t="shared" si="13"/>
        <v>-145.50666666666666</v>
      </c>
      <c r="G31" s="149">
        <f t="shared" si="13"/>
        <v>-142.58666666666664</v>
      </c>
      <c r="H31" s="149">
        <f t="shared" si="13"/>
        <v>-139.66666666666663</v>
      </c>
      <c r="I31" s="149">
        <f t="shared" si="13"/>
        <v>-136.74666666666664</v>
      </c>
      <c r="J31" s="149">
        <f t="shared" si="13"/>
        <v>-133.82666666666663</v>
      </c>
      <c r="K31" s="149">
        <f t="shared" si="13"/>
        <v>-130.90666666666664</v>
      </c>
      <c r="L31" s="149">
        <f t="shared" si="13"/>
        <v>-127.98666666666664</v>
      </c>
      <c r="M31" s="149">
        <f t="shared" si="13"/>
        <v>-125.06666666666663</v>
      </c>
      <c r="N31" s="149">
        <f t="shared" si="13"/>
        <v>-122.14666666666665</v>
      </c>
      <c r="O31" s="149">
        <f t="shared" si="13"/>
        <v>-119.22666666666665</v>
      </c>
      <c r="P31" s="149">
        <f t="shared" si="13"/>
        <v>-116.30666666666664</v>
      </c>
      <c r="Q31" s="149">
        <f t="shared" si="13"/>
        <v>-113.38666666666661</v>
      </c>
      <c r="R31" s="149">
        <f t="shared" si="13"/>
        <v>-110.46666666666661</v>
      </c>
      <c r="S31" s="149">
        <f t="shared" si="13"/>
        <v>-107.54666666666662</v>
      </c>
      <c r="T31" s="149">
        <f t="shared" si="13"/>
        <v>-104.62666666666664</v>
      </c>
      <c r="U31" s="149">
        <f t="shared" si="13"/>
        <v>-101.70666666666664</v>
      </c>
      <c r="V31" s="149">
        <f t="shared" si="13"/>
        <v>-98.786666666666633</v>
      </c>
      <c r="W31" s="149">
        <f t="shared" si="13"/>
        <v>-95.866666666666646</v>
      </c>
      <c r="X31" s="149">
        <f t="shared" si="13"/>
        <v>-92.946666666666644</v>
      </c>
      <c r="Y31" s="149">
        <f t="shared" si="13"/>
        <v>-90.026666666666642</v>
      </c>
      <c r="Z31" s="149">
        <f t="shared" si="13"/>
        <v>-87.106666666666641</v>
      </c>
      <c r="AA31" s="149">
        <f t="shared" si="13"/>
        <v>-84.186666666666639</v>
      </c>
      <c r="AB31" s="149">
        <f t="shared" si="13"/>
        <v>-81.266666666666637</v>
      </c>
      <c r="AC31" s="149">
        <f t="shared" si="13"/>
        <v>-78.346666666666636</v>
      </c>
      <c r="AD31" s="149">
        <f t="shared" si="13"/>
        <v>-75.426666666666634</v>
      </c>
      <c r="AE31" s="149">
        <f t="shared" si="13"/>
        <v>-72.506666666666632</v>
      </c>
      <c r="AF31" s="149">
        <f t="shared" si="13"/>
        <v>-69.58666666666663</v>
      </c>
      <c r="AG31" s="111">
        <f>SUM(C31:AF31)</f>
        <v>-3357.7999999999984</v>
      </c>
      <c r="AH31" s="123">
        <f>IRR(B31:AF31)</f>
        <v>4.3799999999990513E-2</v>
      </c>
    </row>
    <row r="32" spans="1:37" s="15" customFormat="1" x14ac:dyDescent="0.25">
      <c r="C32" s="196" t="s">
        <v>53</v>
      </c>
      <c r="D32" s="196"/>
      <c r="E32" s="196"/>
      <c r="F32" s="196"/>
      <c r="G32" s="196"/>
      <c r="H32" s="196"/>
      <c r="I32" s="196"/>
      <c r="J32" s="196"/>
      <c r="K32" s="196"/>
      <c r="L32" s="196"/>
      <c r="M32" s="196" t="s">
        <v>53</v>
      </c>
      <c r="N32" s="196"/>
      <c r="O32" s="196"/>
      <c r="P32" s="196"/>
      <c r="Q32" s="196"/>
      <c r="R32" s="196"/>
      <c r="S32" s="196"/>
      <c r="T32" s="196"/>
      <c r="U32" s="196"/>
      <c r="V32" s="196"/>
      <c r="W32" s="196" t="s">
        <v>53</v>
      </c>
      <c r="X32" s="196"/>
      <c r="Y32" s="196"/>
      <c r="Z32" s="196"/>
      <c r="AA32" s="196"/>
      <c r="AB32" s="196"/>
      <c r="AC32" s="196"/>
      <c r="AD32" s="196"/>
      <c r="AE32" s="196"/>
      <c r="AF32" s="196"/>
      <c r="AG32" s="87"/>
      <c r="AH32" s="87"/>
    </row>
    <row r="33" spans="1:35" s="15" customFormat="1" x14ac:dyDescent="0.25">
      <c r="A33" s="39"/>
      <c r="B33" s="157"/>
      <c r="C33" s="111">
        <v>1</v>
      </c>
      <c r="D33" s="111">
        <v>2</v>
      </c>
      <c r="E33" s="111">
        <v>3</v>
      </c>
      <c r="F33" s="111">
        <v>4</v>
      </c>
      <c r="G33" s="111">
        <v>5</v>
      </c>
      <c r="H33" s="111">
        <v>6</v>
      </c>
      <c r="I33" s="111">
        <v>7</v>
      </c>
      <c r="J33" s="111">
        <v>8</v>
      </c>
      <c r="K33" s="111">
        <v>9</v>
      </c>
      <c r="L33" s="111">
        <v>10</v>
      </c>
      <c r="M33" s="111">
        <v>11</v>
      </c>
      <c r="N33" s="111">
        <v>12</v>
      </c>
      <c r="O33" s="111">
        <v>13</v>
      </c>
      <c r="P33" s="111">
        <v>14</v>
      </c>
      <c r="Q33" s="111">
        <v>15</v>
      </c>
      <c r="R33" s="111">
        <v>16</v>
      </c>
      <c r="S33" s="111">
        <v>17</v>
      </c>
      <c r="T33" s="111">
        <v>18</v>
      </c>
      <c r="U33" s="111">
        <v>19</v>
      </c>
      <c r="V33" s="111">
        <v>20</v>
      </c>
      <c r="W33" s="111">
        <v>21</v>
      </c>
      <c r="X33" s="111">
        <v>22</v>
      </c>
      <c r="Y33" s="111">
        <v>23</v>
      </c>
      <c r="Z33" s="111">
        <v>24</v>
      </c>
      <c r="AA33" s="111">
        <v>25</v>
      </c>
      <c r="AB33" s="111">
        <v>26</v>
      </c>
      <c r="AC33" s="111">
        <v>27</v>
      </c>
      <c r="AD33" s="111">
        <v>28</v>
      </c>
      <c r="AE33" s="111">
        <v>29</v>
      </c>
      <c r="AF33" s="111">
        <v>30</v>
      </c>
      <c r="AG33" s="111" t="s">
        <v>18</v>
      </c>
      <c r="AH33" s="87"/>
    </row>
    <row r="34" spans="1:35" s="15" customFormat="1" x14ac:dyDescent="0.25">
      <c r="A34" s="39"/>
      <c r="B34" s="109" t="s">
        <v>9</v>
      </c>
      <c r="C34" s="87" t="s">
        <v>0</v>
      </c>
      <c r="D34" s="87"/>
      <c r="E34" s="87"/>
      <c r="F34" s="87"/>
      <c r="G34" s="87"/>
      <c r="H34" s="87"/>
      <c r="I34" s="87"/>
      <c r="J34" s="87"/>
      <c r="K34" s="87"/>
      <c r="L34" s="87"/>
      <c r="M34" s="87" t="s">
        <v>0</v>
      </c>
      <c r="N34" s="87"/>
      <c r="O34" s="87"/>
      <c r="P34" s="87"/>
      <c r="Q34" s="87"/>
      <c r="R34" s="87"/>
      <c r="S34" s="87"/>
      <c r="T34" s="87"/>
      <c r="U34" s="87"/>
      <c r="V34" s="87"/>
      <c r="W34" s="87" t="s">
        <v>0</v>
      </c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</row>
    <row r="35" spans="1:35" s="15" customFormat="1" x14ac:dyDescent="0.25">
      <c r="A35" s="39"/>
      <c r="B35" s="153" t="s">
        <v>20</v>
      </c>
      <c r="C35" s="119">
        <f t="shared" ref="C35:M35" si="14">-C25</f>
        <v>66.666666666666671</v>
      </c>
      <c r="D35" s="119">
        <f t="shared" si="14"/>
        <v>66.666666666666671</v>
      </c>
      <c r="E35" s="119">
        <f t="shared" si="14"/>
        <v>66.666666666666671</v>
      </c>
      <c r="F35" s="119">
        <f t="shared" si="14"/>
        <v>66.666666666666671</v>
      </c>
      <c r="G35" s="119">
        <f t="shared" si="14"/>
        <v>66.666666666666671</v>
      </c>
      <c r="H35" s="119">
        <f t="shared" si="14"/>
        <v>66.666666666666671</v>
      </c>
      <c r="I35" s="119">
        <f t="shared" si="14"/>
        <v>66.666666666666671</v>
      </c>
      <c r="J35" s="119">
        <f t="shared" si="14"/>
        <v>66.666666666666671</v>
      </c>
      <c r="K35" s="119">
        <f t="shared" si="14"/>
        <v>66.666666666666671</v>
      </c>
      <c r="L35" s="119">
        <f t="shared" si="14"/>
        <v>66.666666666666671</v>
      </c>
      <c r="M35" s="119">
        <f t="shared" si="14"/>
        <v>66.666666666666671</v>
      </c>
      <c r="N35" s="119">
        <f t="shared" ref="N35:V35" si="15">-N25</f>
        <v>66.666666666666671</v>
      </c>
      <c r="O35" s="119">
        <f t="shared" si="15"/>
        <v>66.666666666666671</v>
      </c>
      <c r="P35" s="119">
        <f t="shared" si="15"/>
        <v>66.666666666666671</v>
      </c>
      <c r="Q35" s="119">
        <f t="shared" si="15"/>
        <v>66.666666666666671</v>
      </c>
      <c r="R35" s="119">
        <f t="shared" si="15"/>
        <v>66.666666666666671</v>
      </c>
      <c r="S35" s="119">
        <f t="shared" si="15"/>
        <v>66.666666666666671</v>
      </c>
      <c r="T35" s="119">
        <f t="shared" si="15"/>
        <v>66.666666666666671</v>
      </c>
      <c r="U35" s="119">
        <f t="shared" si="15"/>
        <v>66.666666666666671</v>
      </c>
      <c r="V35" s="119">
        <f t="shared" si="15"/>
        <v>66.666666666666671</v>
      </c>
      <c r="W35" s="119">
        <f>-W25</f>
        <v>66.666666666666671</v>
      </c>
      <c r="X35" s="119">
        <f t="shared" ref="X35:AF35" si="16">-X25</f>
        <v>66.666666666666671</v>
      </c>
      <c r="Y35" s="119">
        <f t="shared" si="16"/>
        <v>66.666666666666671</v>
      </c>
      <c r="Z35" s="119">
        <f t="shared" si="16"/>
        <v>66.666666666666671</v>
      </c>
      <c r="AA35" s="119">
        <f t="shared" si="16"/>
        <v>66.666666666666671</v>
      </c>
      <c r="AB35" s="119">
        <f t="shared" si="16"/>
        <v>66.666666666666671</v>
      </c>
      <c r="AC35" s="119">
        <f t="shared" si="16"/>
        <v>66.666666666666671</v>
      </c>
      <c r="AD35" s="119">
        <f t="shared" si="16"/>
        <v>66.666666666666671</v>
      </c>
      <c r="AE35" s="119">
        <f t="shared" si="16"/>
        <v>66.666666666666671</v>
      </c>
      <c r="AF35" s="119">
        <f t="shared" si="16"/>
        <v>66.666666666666671</v>
      </c>
      <c r="AG35" s="119">
        <f>-AG25</f>
        <v>2000.0000000000009</v>
      </c>
      <c r="AH35" s="87"/>
      <c r="AI35" s="154"/>
    </row>
    <row r="36" spans="1:35" s="15" customFormat="1" x14ac:dyDescent="0.25">
      <c r="A36" s="39"/>
      <c r="B36" s="155" t="s">
        <v>22</v>
      </c>
      <c r="C36" s="111">
        <f t="shared" ref="C36:AF36" si="17">-C13:AG13</f>
        <v>25.297822980094423</v>
      </c>
      <c r="D36" s="111">
        <f t="shared" si="17"/>
        <v>26.815692358900094</v>
      </c>
      <c r="E36" s="111">
        <f t="shared" si="17"/>
        <v>28.424633900434102</v>
      </c>
      <c r="F36" s="111">
        <f t="shared" si="17"/>
        <v>30.13011193446016</v>
      </c>
      <c r="G36" s="111">
        <f t="shared" si="17"/>
        <v>31.937918650527763</v>
      </c>
      <c r="H36" s="111">
        <f t="shared" si="17"/>
        <v>33.854193769559416</v>
      </c>
      <c r="I36" s="111">
        <f t="shared" si="17"/>
        <v>35.885445395732987</v>
      </c>
      <c r="J36" s="111">
        <f t="shared" si="17"/>
        <v>38.038572119476981</v>
      </c>
      <c r="K36" s="111">
        <f t="shared" si="17"/>
        <v>40.320886446645602</v>
      </c>
      <c r="L36" s="111">
        <f t="shared" si="17"/>
        <v>42.740139633444329</v>
      </c>
      <c r="M36" s="111">
        <f t="shared" si="17"/>
        <v>45.304548011451004</v>
      </c>
      <c r="N36" s="111">
        <f t="shared" si="17"/>
        <v>48.022820892138057</v>
      </c>
      <c r="O36" s="111">
        <f t="shared" si="17"/>
        <v>50.904190145666348</v>
      </c>
      <c r="P36" s="111">
        <f t="shared" si="17"/>
        <v>53.958441554406321</v>
      </c>
      <c r="Q36" s="111">
        <f t="shared" si="17"/>
        <v>57.195948047670697</v>
      </c>
      <c r="R36" s="111">
        <f t="shared" si="17"/>
        <v>60.627704930530953</v>
      </c>
      <c r="S36" s="111">
        <f t="shared" si="17"/>
        <v>64.265367226362798</v>
      </c>
      <c r="T36" s="111">
        <f t="shared" si="17"/>
        <v>68.121289259944561</v>
      </c>
      <c r="U36" s="111">
        <f t="shared" si="17"/>
        <v>72.208566615541244</v>
      </c>
      <c r="V36" s="111">
        <f t="shared" si="17"/>
        <v>76.541080612473721</v>
      </c>
      <c r="W36" s="111">
        <f t="shared" si="17"/>
        <v>81.13354544922214</v>
      </c>
      <c r="X36" s="111">
        <f t="shared" si="17"/>
        <v>86.001558176175465</v>
      </c>
      <c r="Y36" s="111">
        <f t="shared" si="17"/>
        <v>91.161651666745996</v>
      </c>
      <c r="Z36" s="111">
        <f t="shared" si="17"/>
        <v>96.631350766750757</v>
      </c>
      <c r="AA36" s="111">
        <f t="shared" si="17"/>
        <v>102.4292318127558</v>
      </c>
      <c r="AB36" s="111">
        <f t="shared" si="17"/>
        <v>108.57498572152114</v>
      </c>
      <c r="AC36" s="111">
        <f t="shared" si="17"/>
        <v>115.08948486481242</v>
      </c>
      <c r="AD36" s="111">
        <f t="shared" si="17"/>
        <v>121.99485395670115</v>
      </c>
      <c r="AE36" s="111">
        <f t="shared" si="17"/>
        <v>129.31454519410323</v>
      </c>
      <c r="AF36" s="111">
        <f t="shared" si="17"/>
        <v>137.07341790574941</v>
      </c>
      <c r="AG36" s="111">
        <f>-AG13:AQ13</f>
        <v>1999.9999999999991</v>
      </c>
      <c r="AH36" s="87"/>
    </row>
    <row r="37" spans="1:35" s="15" customFormat="1" x14ac:dyDescent="0.25">
      <c r="A37" s="39"/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87"/>
    </row>
    <row r="38" spans="1:35" s="15" customFormat="1" x14ac:dyDescent="0.25">
      <c r="A38" s="39"/>
      <c r="B38" s="109" t="s">
        <v>10</v>
      </c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87"/>
    </row>
    <row r="39" spans="1:35" s="15" customFormat="1" x14ac:dyDescent="0.25">
      <c r="A39" s="39"/>
      <c r="B39" s="153" t="s">
        <v>20</v>
      </c>
      <c r="C39" s="119">
        <f t="shared" ref="C39:M39" si="18">-C26</f>
        <v>120</v>
      </c>
      <c r="D39" s="119">
        <f t="shared" si="18"/>
        <v>115.99999999999999</v>
      </c>
      <c r="E39" s="119">
        <f t="shared" si="18"/>
        <v>111.99999999999999</v>
      </c>
      <c r="F39" s="119">
        <f t="shared" si="18"/>
        <v>107.99999999999999</v>
      </c>
      <c r="G39" s="119">
        <f t="shared" si="18"/>
        <v>103.99999999999997</v>
      </c>
      <c r="H39" s="119">
        <f t="shared" si="18"/>
        <v>99.999999999999972</v>
      </c>
      <c r="I39" s="119">
        <f t="shared" si="18"/>
        <v>95.999999999999972</v>
      </c>
      <c r="J39" s="119">
        <f t="shared" si="18"/>
        <v>91.999999999999972</v>
      </c>
      <c r="K39" s="119">
        <f t="shared" si="18"/>
        <v>87.999999999999957</v>
      </c>
      <c r="L39" s="119">
        <f t="shared" si="18"/>
        <v>83.999999999999957</v>
      </c>
      <c r="M39" s="119">
        <f t="shared" si="18"/>
        <v>79.999999999999957</v>
      </c>
      <c r="N39" s="119">
        <f t="shared" ref="N39:V39" si="19">-N26</f>
        <v>75.999999999999943</v>
      </c>
      <c r="O39" s="119">
        <f t="shared" si="19"/>
        <v>71.999999999999943</v>
      </c>
      <c r="P39" s="119">
        <f t="shared" si="19"/>
        <v>67.999999999999943</v>
      </c>
      <c r="Q39" s="119">
        <f t="shared" si="19"/>
        <v>63.999999999999936</v>
      </c>
      <c r="R39" s="119">
        <f t="shared" si="19"/>
        <v>59.999999999999936</v>
      </c>
      <c r="S39" s="119">
        <f t="shared" si="19"/>
        <v>55.999999999999936</v>
      </c>
      <c r="T39" s="119">
        <f t="shared" si="19"/>
        <v>51.999999999999943</v>
      </c>
      <c r="U39" s="119">
        <f t="shared" si="19"/>
        <v>47.999999999999943</v>
      </c>
      <c r="V39" s="119">
        <f t="shared" si="19"/>
        <v>43.999999999999943</v>
      </c>
      <c r="W39" s="119">
        <f>-W26</f>
        <v>39.99999999999995</v>
      </c>
      <c r="X39" s="119">
        <f t="shared" ref="X39:AF39" si="20">-X26</f>
        <v>35.99999999999995</v>
      </c>
      <c r="Y39" s="119">
        <f t="shared" si="20"/>
        <v>31.999999999999954</v>
      </c>
      <c r="Z39" s="119">
        <f t="shared" si="20"/>
        <v>27.999999999999954</v>
      </c>
      <c r="AA39" s="119">
        <f t="shared" si="20"/>
        <v>23.99999999999995</v>
      </c>
      <c r="AB39" s="119">
        <f t="shared" si="20"/>
        <v>19.99999999999995</v>
      </c>
      <c r="AC39" s="119">
        <f t="shared" si="20"/>
        <v>15.99999999999995</v>
      </c>
      <c r="AD39" s="119">
        <f t="shared" si="20"/>
        <v>11.999999999999948</v>
      </c>
      <c r="AE39" s="119">
        <f t="shared" si="20"/>
        <v>7.9999999999999476</v>
      </c>
      <c r="AF39" s="119">
        <f t="shared" si="20"/>
        <v>3.9999999999999472</v>
      </c>
      <c r="AG39" s="119">
        <f>-AG26</f>
        <v>1860</v>
      </c>
      <c r="AH39" s="87"/>
    </row>
    <row r="40" spans="1:35" s="15" customFormat="1" x14ac:dyDescent="0.25">
      <c r="A40" s="39"/>
      <c r="B40" s="155" t="s">
        <v>22</v>
      </c>
      <c r="C40" s="111">
        <f t="shared" ref="C40:M40" si="21">-C14</f>
        <v>120</v>
      </c>
      <c r="D40" s="111">
        <f t="shared" si="21"/>
        <v>118.48213062119433</v>
      </c>
      <c r="E40" s="111">
        <f t="shared" si="21"/>
        <v>116.87318907966032</v>
      </c>
      <c r="F40" s="111">
        <f t="shared" si="21"/>
        <v>115.16771104563426</v>
      </c>
      <c r="G40" s="111">
        <f t="shared" si="21"/>
        <v>113.35990432956666</v>
      </c>
      <c r="H40" s="111">
        <f t="shared" si="21"/>
        <v>111.44362921053501</v>
      </c>
      <c r="I40" s="111">
        <f t="shared" si="21"/>
        <v>109.41237758436144</v>
      </c>
      <c r="J40" s="111">
        <f t="shared" si="21"/>
        <v>107.25925086061744</v>
      </c>
      <c r="K40" s="111">
        <f t="shared" si="21"/>
        <v>104.97693653344882</v>
      </c>
      <c r="L40" s="111">
        <f t="shared" si="21"/>
        <v>102.55768334665009</v>
      </c>
      <c r="M40" s="111">
        <f t="shared" si="21"/>
        <v>99.993274968643419</v>
      </c>
      <c r="N40" s="111">
        <f t="shared" ref="N40:V40" si="22">-N14</f>
        <v>97.275002087956366</v>
      </c>
      <c r="O40" s="111">
        <f t="shared" si="22"/>
        <v>94.393632834428075</v>
      </c>
      <c r="P40" s="111">
        <f t="shared" si="22"/>
        <v>91.339381425688103</v>
      </c>
      <c r="Q40" s="111">
        <f t="shared" si="22"/>
        <v>88.101874932423726</v>
      </c>
      <c r="R40" s="111">
        <f t="shared" si="22"/>
        <v>84.67011804956347</v>
      </c>
      <c r="S40" s="111">
        <f t="shared" si="22"/>
        <v>81.032455753731625</v>
      </c>
      <c r="T40" s="111">
        <f t="shared" si="22"/>
        <v>77.176533720149862</v>
      </c>
      <c r="U40" s="111">
        <f t="shared" si="22"/>
        <v>73.089256364553179</v>
      </c>
      <c r="V40" s="111">
        <f t="shared" si="22"/>
        <v>68.756742367620703</v>
      </c>
      <c r="W40" s="111">
        <f>-W14</f>
        <v>64.164277530872283</v>
      </c>
      <c r="X40" s="111">
        <f t="shared" ref="X40:AF40" si="23">-X14</f>
        <v>59.296264803918959</v>
      </c>
      <c r="Y40" s="111">
        <f t="shared" si="23"/>
        <v>54.136171313348434</v>
      </c>
      <c r="Z40" s="111">
        <f t="shared" si="23"/>
        <v>48.666472213343674</v>
      </c>
      <c r="AA40" s="111">
        <f t="shared" si="23"/>
        <v>42.868591167338629</v>
      </c>
      <c r="AB40" s="111">
        <f t="shared" si="23"/>
        <v>36.722837258573279</v>
      </c>
      <c r="AC40" s="111">
        <f t="shared" si="23"/>
        <v>30.208338115282011</v>
      </c>
      <c r="AD40" s="111">
        <f t="shared" si="23"/>
        <v>23.302969023393267</v>
      </c>
      <c r="AE40" s="111">
        <f t="shared" si="23"/>
        <v>15.983277785991199</v>
      </c>
      <c r="AF40" s="111">
        <f t="shared" si="23"/>
        <v>8.2244050743450057</v>
      </c>
      <c r="AG40" s="111">
        <f>-AG14</f>
        <v>2358.934689402834</v>
      </c>
      <c r="AH40" s="87"/>
    </row>
    <row r="41" spans="1:35" s="15" customFormat="1" x14ac:dyDescent="0.25"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</row>
    <row r="42" spans="1:35" s="15" customFormat="1" x14ac:dyDescent="0.25">
      <c r="B42" s="163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</row>
    <row r="43" spans="1:35" s="15" customFormat="1" x14ac:dyDescent="0.25">
      <c r="B43" s="195" t="s">
        <v>21</v>
      </c>
      <c r="C43" s="195"/>
      <c r="D43" s="195"/>
      <c r="E43" s="195"/>
      <c r="F43" s="195"/>
      <c r="G43" s="195"/>
      <c r="H43" s="195"/>
      <c r="I43" s="148"/>
      <c r="J43" s="148"/>
      <c r="K43" s="148"/>
      <c r="L43" s="148"/>
      <c r="M43" s="148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</row>
    <row r="44" spans="1:35" s="15" customFormat="1" x14ac:dyDescent="0.25">
      <c r="A44" s="166"/>
      <c r="B44" s="167">
        <v>0</v>
      </c>
      <c r="C44" s="149">
        <v>2</v>
      </c>
      <c r="D44" s="149">
        <v>4</v>
      </c>
      <c r="E44" s="149">
        <v>6</v>
      </c>
      <c r="F44" s="149">
        <v>8</v>
      </c>
      <c r="G44" s="149">
        <v>10</v>
      </c>
      <c r="H44" s="149">
        <v>12</v>
      </c>
      <c r="I44" s="148"/>
      <c r="J44" s="148"/>
      <c r="K44" s="148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</row>
    <row r="45" spans="1:35" s="15" customFormat="1" x14ac:dyDescent="0.25">
      <c r="A45" s="15" t="s">
        <v>20</v>
      </c>
      <c r="B45" s="39">
        <f>$B$28+NPV(B$44/100,$C$28:$AF$28)</f>
        <v>-1859.9999999999964</v>
      </c>
      <c r="C45" s="119">
        <f t="shared" ref="C45:H45" si="24">$B$28+NPV(C$44/100,$C$28:$AF$28)</f>
        <v>-1013.8059265327456</v>
      </c>
      <c r="D45" s="119">
        <f t="shared" si="24"/>
        <v>-423.59888997784947</v>
      </c>
      <c r="E45" s="119">
        <f t="shared" si="24"/>
        <v>0</v>
      </c>
      <c r="F45" s="119">
        <f t="shared" si="24"/>
        <v>312.37027761454351</v>
      </c>
      <c r="G45" s="119">
        <f t="shared" si="24"/>
        <v>548.61561421364604</v>
      </c>
      <c r="H45" s="119">
        <f t="shared" si="24"/>
        <v>731.49386774442246</v>
      </c>
      <c r="I45" s="148"/>
      <c r="J45" s="148"/>
      <c r="K45" s="148" t="s">
        <v>0</v>
      </c>
      <c r="L45" s="87" t="s">
        <v>0</v>
      </c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</row>
    <row r="46" spans="1:35" s="15" customFormat="1" x14ac:dyDescent="0.25">
      <c r="A46" s="157" t="s">
        <v>22</v>
      </c>
      <c r="B46" s="39">
        <f>$B$16+NPV(B$44/100,$C$16:$AF$16)</f>
        <v>-2358.9346894028304</v>
      </c>
      <c r="C46" s="119">
        <f t="shared" ref="C46:H46" si="25">$B$16+NPV(C$44/100,$C$16:$AF$16)</f>
        <v>-1254.1562340313913</v>
      </c>
      <c r="D46" s="119">
        <f t="shared" si="25"/>
        <v>-512.49479348584464</v>
      </c>
      <c r="E46" s="119">
        <f t="shared" si="25"/>
        <v>2.2737367544323206E-12</v>
      </c>
      <c r="F46" s="119">
        <f t="shared" si="25"/>
        <v>364.26858866200791</v>
      </c>
      <c r="G46" s="119">
        <f t="shared" si="25"/>
        <v>630.2898505270407</v>
      </c>
      <c r="H46" s="119">
        <f t="shared" si="25"/>
        <v>829.59930579377419</v>
      </c>
      <c r="I46" s="148"/>
      <c r="J46" s="148"/>
      <c r="K46" s="148" t="s">
        <v>0</v>
      </c>
      <c r="L46" s="87" t="s">
        <v>0</v>
      </c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</row>
    <row r="47" spans="1:35" s="15" customFormat="1" ht="15.75" thickBot="1" x14ac:dyDescent="0.3">
      <c r="A47" s="168" t="s">
        <v>23</v>
      </c>
      <c r="B47" s="169">
        <f t="shared" ref="B47:H47" si="26">B46-B45</f>
        <v>-498.93468940283401</v>
      </c>
      <c r="C47" s="170">
        <f t="shared" si="26"/>
        <v>-240.35030749864563</v>
      </c>
      <c r="D47" s="170">
        <f t="shared" si="26"/>
        <v>-88.895903507995172</v>
      </c>
      <c r="E47" s="170">
        <f t="shared" si="26"/>
        <v>2.2737367544323206E-12</v>
      </c>
      <c r="F47" s="170">
        <f t="shared" si="26"/>
        <v>51.898311047464404</v>
      </c>
      <c r="G47" s="170">
        <f t="shared" si="26"/>
        <v>81.674236313394658</v>
      </c>
      <c r="H47" s="170">
        <f t="shared" si="26"/>
        <v>98.105438049351733</v>
      </c>
      <c r="I47" s="148"/>
      <c r="J47" s="148"/>
      <c r="K47" s="148"/>
      <c r="L47" s="87"/>
      <c r="M47" s="87"/>
      <c r="N47" s="87" t="s">
        <v>0</v>
      </c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</row>
    <row r="48" spans="1:35" s="15" customFormat="1" ht="15.75" thickTop="1" x14ac:dyDescent="0.25">
      <c r="B48" s="163"/>
      <c r="C48" s="148"/>
      <c r="D48" s="148"/>
      <c r="E48" s="148"/>
      <c r="F48" s="148"/>
      <c r="G48" s="148"/>
      <c r="H48" s="148"/>
      <c r="I48" s="148"/>
      <c r="J48" s="148"/>
      <c r="K48" s="148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</row>
    <row r="49" spans="2:34" s="15" customFormat="1" x14ac:dyDescent="0.25">
      <c r="B49" s="163"/>
      <c r="C49" s="148"/>
      <c r="D49" s="148"/>
      <c r="E49" s="148"/>
      <c r="F49" s="148"/>
      <c r="G49" s="148"/>
      <c r="H49" s="148"/>
      <c r="I49" s="148"/>
      <c r="J49" s="148"/>
      <c r="K49" s="148" t="s">
        <v>0</v>
      </c>
      <c r="L49" s="148"/>
      <c r="M49" s="148" t="s">
        <v>0</v>
      </c>
      <c r="N49" s="87"/>
      <c r="O49" s="87" t="s">
        <v>0</v>
      </c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</row>
    <row r="50" spans="2:34" s="15" customFormat="1" x14ac:dyDescent="0.25">
      <c r="B50" s="163"/>
      <c r="C50" s="148">
        <v>2</v>
      </c>
      <c r="D50" s="148">
        <v>4</v>
      </c>
      <c r="E50" s="148">
        <v>6</v>
      </c>
      <c r="F50" s="148">
        <v>8</v>
      </c>
      <c r="G50" s="148">
        <v>10</v>
      </c>
      <c r="H50" s="148">
        <v>12</v>
      </c>
      <c r="I50" s="148"/>
      <c r="J50" s="148"/>
      <c r="K50" s="148"/>
      <c r="L50" s="148"/>
      <c r="M50" s="148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</row>
    <row r="51" spans="2:34" s="15" customFormat="1" x14ac:dyDescent="0.25">
      <c r="B51" s="163"/>
      <c r="C51" s="148" t="s">
        <v>0</v>
      </c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</row>
    <row r="52" spans="2:34" s="15" customFormat="1" x14ac:dyDescent="0.25">
      <c r="B52" s="163"/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</row>
    <row r="53" spans="2:34" s="15" customFormat="1" x14ac:dyDescent="0.25">
      <c r="B53" s="163"/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</row>
    <row r="54" spans="2:34" s="15" customFormat="1" x14ac:dyDescent="0.25">
      <c r="B54" s="163"/>
      <c r="C54" s="148"/>
      <c r="D54" s="148"/>
      <c r="E54" s="148"/>
      <c r="F54" s="148"/>
      <c r="G54" s="148" t="s">
        <v>0</v>
      </c>
      <c r="H54" s="148"/>
      <c r="I54" s="148"/>
      <c r="J54" s="148"/>
      <c r="K54" s="148"/>
      <c r="L54" s="148"/>
      <c r="M54" s="148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</row>
    <row r="55" spans="2:34" s="15" customFormat="1" x14ac:dyDescent="0.25">
      <c r="B55" s="163"/>
      <c r="C55" s="148"/>
      <c r="D55" s="148"/>
      <c r="E55" s="148" t="s">
        <v>0</v>
      </c>
      <c r="F55" s="148"/>
      <c r="G55" s="148"/>
      <c r="H55" s="148"/>
      <c r="I55" s="148"/>
      <c r="J55" s="148"/>
      <c r="K55" s="148"/>
      <c r="L55" s="148"/>
      <c r="M55" s="148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</row>
    <row r="56" spans="2:34" s="15" customFormat="1" x14ac:dyDescent="0.25">
      <c r="B56" s="163"/>
      <c r="C56" s="148"/>
      <c r="D56" s="148"/>
      <c r="E56" s="148"/>
      <c r="F56" s="148"/>
      <c r="G56" s="148"/>
      <c r="H56" s="148"/>
      <c r="I56" s="148"/>
      <c r="J56" s="148"/>
      <c r="K56" s="148"/>
      <c r="L56" s="148"/>
      <c r="M56" s="148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</row>
    <row r="57" spans="2:34" s="15" customFormat="1" x14ac:dyDescent="0.25">
      <c r="B57" s="163"/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148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</row>
    <row r="58" spans="2:34" s="15" customFormat="1" x14ac:dyDescent="0.25">
      <c r="B58" s="163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</row>
    <row r="59" spans="2:34" s="15" customFormat="1" x14ac:dyDescent="0.25">
      <c r="B59" s="163"/>
      <c r="C59" s="148"/>
      <c r="D59" s="148"/>
      <c r="E59" s="148"/>
      <c r="F59" s="148"/>
      <c r="G59" s="148"/>
      <c r="H59" s="148"/>
      <c r="I59" s="148"/>
      <c r="J59" s="148"/>
      <c r="K59" s="148"/>
      <c r="L59" s="148"/>
      <c r="M59" s="148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</row>
    <row r="60" spans="2:34" s="15" customFormat="1" x14ac:dyDescent="0.25">
      <c r="B60" s="163"/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</row>
    <row r="61" spans="2:34" s="15" customFormat="1" x14ac:dyDescent="0.25">
      <c r="B61" s="163"/>
      <c r="C61" s="148"/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</row>
    <row r="62" spans="2:34" s="15" customFormat="1" x14ac:dyDescent="0.25">
      <c r="B62" s="163"/>
      <c r="C62" s="148"/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</row>
    <row r="63" spans="2:34" s="15" customFormat="1" x14ac:dyDescent="0.25"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</row>
    <row r="64" spans="2:34" s="15" customFormat="1" x14ac:dyDescent="0.25"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</row>
    <row r="65" spans="3:34" s="15" customFormat="1" x14ac:dyDescent="0.25"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</row>
    <row r="66" spans="3:34" s="15" customFormat="1" x14ac:dyDescent="0.25"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</row>
    <row r="67" spans="3:34" s="15" customFormat="1" x14ac:dyDescent="0.25"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</row>
    <row r="68" spans="3:34" s="15" customFormat="1" x14ac:dyDescent="0.25"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</row>
    <row r="69" spans="3:34" s="15" customFormat="1" x14ac:dyDescent="0.25"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</row>
    <row r="70" spans="3:34" s="15" customFormat="1" x14ac:dyDescent="0.25"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</row>
    <row r="71" spans="3:34" s="15" customFormat="1" x14ac:dyDescent="0.25">
      <c r="C71" s="87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</row>
    <row r="72" spans="3:34" s="15" customFormat="1" x14ac:dyDescent="0.25">
      <c r="C72" s="87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</row>
    <row r="73" spans="3:34" s="15" customFormat="1" x14ac:dyDescent="0.25">
      <c r="C73" s="87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</row>
    <row r="74" spans="3:34" s="15" customFormat="1" x14ac:dyDescent="0.25"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</row>
    <row r="75" spans="3:34" s="15" customFormat="1" x14ac:dyDescent="0.25"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</row>
    <row r="76" spans="3:34" s="15" customFormat="1" x14ac:dyDescent="0.25"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</row>
    <row r="77" spans="3:34" s="15" customFormat="1" x14ac:dyDescent="0.25">
      <c r="C77" s="87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</row>
    <row r="78" spans="3:34" s="15" customFormat="1" x14ac:dyDescent="0.25"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</row>
    <row r="79" spans="3:34" s="15" customFormat="1" x14ac:dyDescent="0.25"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</row>
    <row r="80" spans="3:34" s="15" customFormat="1" x14ac:dyDescent="0.25"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</row>
    <row r="81" spans="3:34" s="15" customFormat="1" x14ac:dyDescent="0.25"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</row>
    <row r="82" spans="3:34" s="15" customFormat="1" x14ac:dyDescent="0.25"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</row>
    <row r="83" spans="3:34" s="15" customFormat="1" x14ac:dyDescent="0.25">
      <c r="C83" s="87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</row>
    <row r="84" spans="3:34" s="15" customFormat="1" x14ac:dyDescent="0.25">
      <c r="C84" s="87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</row>
    <row r="85" spans="3:34" s="15" customFormat="1" x14ac:dyDescent="0.25">
      <c r="C85" s="87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</row>
    <row r="86" spans="3:34" s="15" customFormat="1" x14ac:dyDescent="0.25">
      <c r="C86" s="87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</row>
    <row r="87" spans="3:34" s="15" customFormat="1" x14ac:dyDescent="0.25">
      <c r="C87" s="87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</row>
    <row r="88" spans="3:34" s="15" customFormat="1" x14ac:dyDescent="0.25">
      <c r="C88" s="87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</row>
    <row r="89" spans="3:34" s="15" customFormat="1" x14ac:dyDescent="0.25"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</row>
    <row r="90" spans="3:34" s="15" customFormat="1" x14ac:dyDescent="0.25">
      <c r="C90" s="87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</row>
    <row r="91" spans="3:34" s="15" customFormat="1" x14ac:dyDescent="0.25">
      <c r="C91" s="87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</row>
    <row r="92" spans="3:34" s="15" customFormat="1" x14ac:dyDescent="0.25">
      <c r="C92" s="87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</row>
    <row r="93" spans="3:34" s="15" customFormat="1" x14ac:dyDescent="0.25">
      <c r="C93" s="87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</row>
    <row r="94" spans="3:34" s="15" customFormat="1" x14ac:dyDescent="0.25">
      <c r="C94" s="87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</row>
    <row r="95" spans="3:34" s="15" customFormat="1" x14ac:dyDescent="0.25">
      <c r="C95" s="87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</row>
    <row r="96" spans="3:34" s="15" customFormat="1" x14ac:dyDescent="0.25">
      <c r="C96" s="87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</row>
    <row r="97" spans="3:34" s="15" customFormat="1" x14ac:dyDescent="0.25">
      <c r="C97" s="87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</row>
    <row r="98" spans="3:34" s="15" customFormat="1" x14ac:dyDescent="0.25">
      <c r="C98" s="87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</row>
    <row r="99" spans="3:34" s="15" customFormat="1" x14ac:dyDescent="0.25">
      <c r="C99" s="87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</row>
    <row r="100" spans="3:34" s="15" customFormat="1" x14ac:dyDescent="0.25">
      <c r="C100" s="87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</row>
    <row r="101" spans="3:34" s="15" customFormat="1" x14ac:dyDescent="0.25">
      <c r="C101" s="87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</row>
    <row r="102" spans="3:34" s="15" customFormat="1" x14ac:dyDescent="0.25">
      <c r="C102" s="87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</row>
    <row r="103" spans="3:34" s="15" customFormat="1" x14ac:dyDescent="0.25">
      <c r="C103" s="87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</row>
    <row r="104" spans="3:34" s="15" customFormat="1" x14ac:dyDescent="0.25">
      <c r="C104" s="87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</row>
    <row r="105" spans="3:34" s="15" customFormat="1" x14ac:dyDescent="0.25">
      <c r="C105" s="87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</row>
    <row r="106" spans="3:34" s="15" customFormat="1" x14ac:dyDescent="0.25">
      <c r="C106" s="87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</row>
    <row r="107" spans="3:34" s="15" customFormat="1" x14ac:dyDescent="0.25">
      <c r="C107" s="87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</row>
    <row r="108" spans="3:34" s="15" customFormat="1" x14ac:dyDescent="0.25">
      <c r="C108" s="87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</row>
    <row r="109" spans="3:34" s="15" customFormat="1" x14ac:dyDescent="0.25">
      <c r="C109" s="87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</row>
    <row r="110" spans="3:34" s="15" customFormat="1" x14ac:dyDescent="0.25">
      <c r="C110" s="87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</row>
    <row r="111" spans="3:34" s="15" customFormat="1" x14ac:dyDescent="0.25">
      <c r="C111" s="87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</row>
    <row r="112" spans="3:34" s="15" customFormat="1" x14ac:dyDescent="0.25">
      <c r="C112" s="87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</row>
    <row r="113" spans="3:34" s="15" customFormat="1" x14ac:dyDescent="0.25">
      <c r="C113" s="87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</row>
    <row r="114" spans="3:34" s="15" customFormat="1" x14ac:dyDescent="0.25">
      <c r="C114" s="87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</row>
    <row r="115" spans="3:34" s="15" customFormat="1" x14ac:dyDescent="0.25">
      <c r="C115" s="87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</row>
    <row r="116" spans="3:34" s="15" customFormat="1" x14ac:dyDescent="0.25">
      <c r="C116" s="87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</row>
    <row r="117" spans="3:34" s="15" customFormat="1" x14ac:dyDescent="0.25">
      <c r="C117" s="87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</row>
    <row r="118" spans="3:34" s="15" customFormat="1" x14ac:dyDescent="0.25">
      <c r="C118" s="87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</row>
    <row r="119" spans="3:34" s="15" customFormat="1" x14ac:dyDescent="0.25">
      <c r="C119" s="87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</row>
    <row r="120" spans="3:34" s="15" customFormat="1" x14ac:dyDescent="0.25">
      <c r="C120" s="87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</row>
    <row r="121" spans="3:34" s="15" customFormat="1" x14ac:dyDescent="0.25">
      <c r="C121" s="87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</row>
    <row r="122" spans="3:34" s="15" customFormat="1" x14ac:dyDescent="0.25">
      <c r="C122" s="87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</row>
    <row r="123" spans="3:34" s="15" customFormat="1" x14ac:dyDescent="0.25">
      <c r="C123" s="87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</row>
    <row r="124" spans="3:34" s="15" customFormat="1" x14ac:dyDescent="0.25">
      <c r="C124" s="87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</row>
    <row r="125" spans="3:34" s="15" customFormat="1" x14ac:dyDescent="0.25">
      <c r="C125" s="87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</row>
    <row r="126" spans="3:34" s="15" customFormat="1" x14ac:dyDescent="0.25">
      <c r="C126" s="87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</row>
  </sheetData>
  <mergeCells count="4">
    <mergeCell ref="C32:L32"/>
    <mergeCell ref="M32:V32"/>
    <mergeCell ref="W32:AF32"/>
    <mergeCell ref="B43:H43"/>
  </mergeCells>
  <pageMargins left="0.75" right="0.75" top="1" bottom="1" header="0.5" footer="0.5"/>
  <pageSetup paperSize="9" orientation="portrait" horizontalDpi="4294967293" r:id="rId1"/>
  <headerFooter alignWithMargins="0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B33"/>
  <sheetViews>
    <sheetView zoomScaleNormal="100" workbookViewId="0">
      <selection activeCell="F30" sqref="F30"/>
    </sheetView>
  </sheetViews>
  <sheetFormatPr baseColWidth="10" defaultColWidth="11.42578125" defaultRowHeight="15" x14ac:dyDescent="0.25"/>
  <cols>
    <col min="1" max="1" width="17.7109375" style="15" customWidth="1"/>
    <col min="2" max="2" width="14" style="15" customWidth="1"/>
    <col min="3" max="16384" width="11.42578125" style="15"/>
  </cols>
  <sheetData>
    <row r="1" spans="1:2" x14ac:dyDescent="0.25">
      <c r="A1" s="83" t="s">
        <v>102</v>
      </c>
    </row>
    <row r="3" spans="1:2" x14ac:dyDescent="0.25">
      <c r="A3" s="15" t="s">
        <v>107</v>
      </c>
      <c r="B3" s="16">
        <v>20</v>
      </c>
    </row>
    <row r="4" spans="1:2" x14ac:dyDescent="0.25">
      <c r="A4" s="15" t="s">
        <v>17</v>
      </c>
      <c r="B4" s="45">
        <v>0.09</v>
      </c>
    </row>
    <row r="7" spans="1:2" x14ac:dyDescent="0.25">
      <c r="A7" s="47" t="s">
        <v>108</v>
      </c>
      <c r="B7" s="47" t="s">
        <v>57</v>
      </c>
    </row>
    <row r="8" spans="1:2" x14ac:dyDescent="0.25">
      <c r="A8" s="48">
        <v>0</v>
      </c>
      <c r="B8" s="39">
        <f>$B$3/($B$4-A8)</f>
        <v>222.22222222222223</v>
      </c>
    </row>
    <row r="9" spans="1:2" x14ac:dyDescent="0.25">
      <c r="A9" s="48">
        <v>0.01</v>
      </c>
      <c r="B9" s="39">
        <f t="shared" ref="B9:B16" si="0">$B$3/($B$4-A9)</f>
        <v>250</v>
      </c>
    </row>
    <row r="10" spans="1:2" x14ac:dyDescent="0.25">
      <c r="A10" s="48">
        <v>0.02</v>
      </c>
      <c r="B10" s="39">
        <f t="shared" si="0"/>
        <v>285.71428571428572</v>
      </c>
    </row>
    <row r="11" spans="1:2" x14ac:dyDescent="0.25">
      <c r="A11" s="48">
        <v>0.03</v>
      </c>
      <c r="B11" s="39">
        <f t="shared" si="0"/>
        <v>333.33333333333337</v>
      </c>
    </row>
    <row r="12" spans="1:2" x14ac:dyDescent="0.25">
      <c r="A12" s="48">
        <v>0.04</v>
      </c>
      <c r="B12" s="39">
        <f t="shared" si="0"/>
        <v>400.00000000000006</v>
      </c>
    </row>
    <row r="13" spans="1:2" x14ac:dyDescent="0.25">
      <c r="A13" s="48">
        <v>0.05</v>
      </c>
      <c r="B13" s="39">
        <f t="shared" si="0"/>
        <v>500.00000000000006</v>
      </c>
    </row>
    <row r="14" spans="1:2" x14ac:dyDescent="0.25">
      <c r="A14" s="48">
        <v>0.06</v>
      </c>
      <c r="B14" s="39">
        <f t="shared" si="0"/>
        <v>666.66666666666674</v>
      </c>
    </row>
    <row r="15" spans="1:2" x14ac:dyDescent="0.25">
      <c r="A15" s="48">
        <v>7.0000000000000007E-2</v>
      </c>
      <c r="B15" s="39">
        <f t="shared" si="0"/>
        <v>1000.0000000000005</v>
      </c>
    </row>
    <row r="16" spans="1:2" ht="15.75" thickBot="1" x14ac:dyDescent="0.3">
      <c r="A16" s="49">
        <v>0.08</v>
      </c>
      <c r="B16" s="46">
        <f t="shared" si="0"/>
        <v>2000.0000000000009</v>
      </c>
    </row>
    <row r="17" spans="1:1" ht="15.75" thickTop="1" x14ac:dyDescent="0.25"/>
    <row r="30" spans="1:1" x14ac:dyDescent="0.25">
      <c r="A30" s="15">
        <v>5</v>
      </c>
    </row>
    <row r="31" spans="1:1" x14ac:dyDescent="0.25">
      <c r="A31" s="15">
        <v>6</v>
      </c>
    </row>
    <row r="32" spans="1:1" x14ac:dyDescent="0.25">
      <c r="A32" s="15">
        <v>7</v>
      </c>
    </row>
    <row r="33" spans="1:1" x14ac:dyDescent="0.25">
      <c r="A33" s="15">
        <v>8</v>
      </c>
    </row>
  </sheetData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26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17.140625" style="15" customWidth="1"/>
    <col min="2" max="12" width="7.5703125" style="15" customWidth="1"/>
    <col min="13" max="16384" width="11.42578125" style="15"/>
  </cols>
  <sheetData>
    <row r="1" spans="1:12" x14ac:dyDescent="0.25">
      <c r="A1" s="83" t="s">
        <v>102</v>
      </c>
    </row>
    <row r="3" spans="1:12" ht="16.5" x14ac:dyDescent="0.3">
      <c r="A3" s="15" t="s">
        <v>171</v>
      </c>
      <c r="B3" s="16">
        <v>30</v>
      </c>
    </row>
    <row r="4" spans="1:12" x14ac:dyDescent="0.25">
      <c r="A4" s="15" t="s">
        <v>109</v>
      </c>
      <c r="B4" s="16">
        <v>4</v>
      </c>
    </row>
    <row r="5" spans="1:12" ht="16.5" x14ac:dyDescent="0.3">
      <c r="A5" s="15" t="s">
        <v>172</v>
      </c>
      <c r="B5" s="16">
        <v>0.05</v>
      </c>
    </row>
    <row r="6" spans="1:12" ht="16.5" x14ac:dyDescent="0.3">
      <c r="A6" s="15" t="s">
        <v>173</v>
      </c>
      <c r="B6" s="16">
        <v>0.02</v>
      </c>
    </row>
    <row r="7" spans="1:12" x14ac:dyDescent="0.25">
      <c r="A7" s="15" t="s">
        <v>56</v>
      </c>
      <c r="B7" s="16">
        <v>0.08</v>
      </c>
    </row>
    <row r="8" spans="1:12" x14ac:dyDescent="0.25">
      <c r="B8" s="184" t="s">
        <v>53</v>
      </c>
      <c r="C8" s="184"/>
      <c r="D8" s="184"/>
      <c r="E8" s="184"/>
      <c r="F8" s="184"/>
      <c r="G8" s="184"/>
      <c r="H8" s="184"/>
      <c r="I8" s="184"/>
      <c r="J8" s="184"/>
      <c r="K8" s="184"/>
      <c r="L8" s="184"/>
    </row>
    <row r="9" spans="1:12" x14ac:dyDescent="0.25">
      <c r="A9" s="157"/>
      <c r="B9" s="157">
        <v>0</v>
      </c>
      <c r="C9" s="157">
        <v>1</v>
      </c>
      <c r="D9" s="157">
        <v>2</v>
      </c>
      <c r="E9" s="157">
        <v>3</v>
      </c>
      <c r="F9" s="157">
        <v>4</v>
      </c>
      <c r="G9" s="157">
        <v>5</v>
      </c>
      <c r="H9" s="157">
        <v>6</v>
      </c>
      <c r="I9" s="157">
        <v>7</v>
      </c>
      <c r="J9" s="157">
        <v>8</v>
      </c>
      <c r="K9" s="157">
        <v>9</v>
      </c>
      <c r="L9" s="157">
        <v>10</v>
      </c>
    </row>
    <row r="10" spans="1:12" x14ac:dyDescent="0.25">
      <c r="A10" s="15" t="s">
        <v>61</v>
      </c>
      <c r="C10" s="158">
        <f>B3</f>
        <v>30</v>
      </c>
      <c r="D10" s="158">
        <f>C10*(1+$B$5)</f>
        <v>31.5</v>
      </c>
      <c r="E10" s="158">
        <f>D10*(1+$B$5)</f>
        <v>33.075000000000003</v>
      </c>
      <c r="F10" s="158">
        <f>E10*(1+$B$5)</f>
        <v>34.728750000000005</v>
      </c>
      <c r="G10" s="158">
        <f t="shared" ref="G10:L10" si="0">F10*(1+$B$6)</f>
        <v>35.423325000000006</v>
      </c>
      <c r="H10" s="158">
        <f t="shared" si="0"/>
        <v>36.131791500000006</v>
      </c>
      <c r="I10" s="158">
        <f t="shared" si="0"/>
        <v>36.854427330000007</v>
      </c>
      <c r="J10" s="158">
        <f t="shared" si="0"/>
        <v>37.591515876600006</v>
      </c>
      <c r="K10" s="158">
        <f t="shared" si="0"/>
        <v>38.34334619413201</v>
      </c>
      <c r="L10" s="158">
        <f t="shared" si="0"/>
        <v>39.110213118014649</v>
      </c>
    </row>
    <row r="11" spans="1:12" x14ac:dyDescent="0.25">
      <c r="A11" s="15" t="s">
        <v>91</v>
      </c>
      <c r="C11" s="159">
        <f>1/((1+$B$7)^C9)</f>
        <v>0.92592592592592582</v>
      </c>
      <c r="D11" s="159">
        <f>1/((1+$B$7)^D9)</f>
        <v>0.85733882030178321</v>
      </c>
      <c r="E11" s="159">
        <f>1/((1+$B$7)^E9)</f>
        <v>0.79383224102016958</v>
      </c>
      <c r="F11" s="159">
        <f>1/((1+$B$7)^F9)</f>
        <v>0.73502985279645328</v>
      </c>
    </row>
    <row r="12" spans="1:12" x14ac:dyDescent="0.25">
      <c r="A12" s="15" t="s">
        <v>92</v>
      </c>
      <c r="C12" s="158">
        <f>C10*C11</f>
        <v>27.777777777777775</v>
      </c>
      <c r="D12" s="158">
        <f>D10*D11</f>
        <v>27.006172839506171</v>
      </c>
      <c r="E12" s="158">
        <f>E10*E11</f>
        <v>26.256001371742112</v>
      </c>
      <c r="F12" s="158">
        <f>F10*F11</f>
        <v>25.526668000304831</v>
      </c>
    </row>
    <row r="13" spans="1:12" ht="15.75" thickBot="1" x14ac:dyDescent="0.3">
      <c r="A13" s="160" t="s">
        <v>93</v>
      </c>
      <c r="B13" s="161">
        <f>SUM(C12:F12)</f>
        <v>106.56661998933089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60"/>
    </row>
    <row r="14" spans="1:12" ht="15.75" thickTop="1" x14ac:dyDescent="0.25">
      <c r="H14" s="15" t="s">
        <v>0</v>
      </c>
    </row>
    <row r="26" spans="13:13" x14ac:dyDescent="0.25">
      <c r="M26" s="15" t="s">
        <v>0</v>
      </c>
    </row>
  </sheetData>
  <mergeCells count="1">
    <mergeCell ref="B8:L8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O31"/>
  <sheetViews>
    <sheetView workbookViewId="0">
      <selection activeCell="O12" sqref="O12"/>
    </sheetView>
  </sheetViews>
  <sheetFormatPr baseColWidth="10" defaultColWidth="8.7109375" defaultRowHeight="15" x14ac:dyDescent="0.25"/>
  <cols>
    <col min="1" max="16384" width="8.7109375" style="15"/>
  </cols>
  <sheetData>
    <row r="1" spans="1:15" x14ac:dyDescent="0.25">
      <c r="A1" s="181" t="s">
        <v>110</v>
      </c>
    </row>
    <row r="10" spans="1:15" x14ac:dyDescent="0.25">
      <c r="O10" s="15">
        <v>0.16600000000000001</v>
      </c>
    </row>
    <row r="11" spans="1:15" x14ac:dyDescent="0.25">
      <c r="O11" s="15">
        <v>0.78</v>
      </c>
    </row>
    <row r="31" spans="9:9" x14ac:dyDescent="0.25">
      <c r="I31" s="15" t="s">
        <v>0</v>
      </c>
    </row>
  </sheetData>
  <phoneticPr fontId="1" type="noConversion"/>
  <pageMargins left="0.75" right="0.75" top="1" bottom="1" header="0.5" footer="0.5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M29"/>
  <sheetViews>
    <sheetView workbookViewId="0">
      <selection activeCell="J26" sqref="J26"/>
    </sheetView>
  </sheetViews>
  <sheetFormatPr baseColWidth="10" defaultColWidth="11.42578125" defaultRowHeight="15" x14ac:dyDescent="0.25"/>
  <cols>
    <col min="1" max="1" width="19.28515625" style="158" customWidth="1"/>
    <col min="2" max="16384" width="11.42578125" style="158"/>
  </cols>
  <sheetData>
    <row r="1" spans="1:7" x14ac:dyDescent="0.25">
      <c r="A1" s="171" t="s">
        <v>110</v>
      </c>
      <c r="B1" s="172"/>
    </row>
    <row r="2" spans="1:7" x14ac:dyDescent="0.25">
      <c r="A2" s="158" t="s">
        <v>24</v>
      </c>
      <c r="B2" s="108">
        <v>300</v>
      </c>
    </row>
    <row r="3" spans="1:7" x14ac:dyDescent="0.25">
      <c r="A3" s="158" t="s">
        <v>26</v>
      </c>
      <c r="B3" s="108">
        <v>3</v>
      </c>
    </row>
    <row r="4" spans="1:7" x14ac:dyDescent="0.25">
      <c r="A4" s="158" t="s">
        <v>5</v>
      </c>
      <c r="B4" s="173">
        <v>0.22</v>
      </c>
    </row>
    <row r="5" spans="1:7" x14ac:dyDescent="0.25">
      <c r="A5" s="158" t="s">
        <v>25</v>
      </c>
      <c r="B5" s="173">
        <v>0.25</v>
      </c>
    </row>
    <row r="6" spans="1:7" x14ac:dyDescent="0.25">
      <c r="A6" s="158" t="s">
        <v>29</v>
      </c>
      <c r="B6" s="108">
        <v>110</v>
      </c>
    </row>
    <row r="8" spans="1:7" x14ac:dyDescent="0.25">
      <c r="A8" s="174" t="s">
        <v>39</v>
      </c>
      <c r="B8" s="165">
        <v>0</v>
      </c>
      <c r="C8" s="165">
        <v>1</v>
      </c>
      <c r="D8" s="165">
        <v>2</v>
      </c>
      <c r="E8" s="165">
        <v>3</v>
      </c>
    </row>
    <row r="9" spans="1:7" x14ac:dyDescent="0.25">
      <c r="A9" s="158" t="s">
        <v>24</v>
      </c>
      <c r="B9" s="164">
        <f>B2</f>
        <v>300</v>
      </c>
      <c r="C9" s="164"/>
      <c r="D9" s="164"/>
      <c r="E9" s="164"/>
    </row>
    <row r="10" spans="1:7" x14ac:dyDescent="0.25">
      <c r="A10" s="158" t="s">
        <v>27</v>
      </c>
      <c r="B10" s="164"/>
      <c r="C10" s="164">
        <f>B9*$B$5</f>
        <v>75</v>
      </c>
      <c r="D10" s="164">
        <f>C11*B5</f>
        <v>56.25</v>
      </c>
      <c r="E10" s="164">
        <f>D11*B5</f>
        <v>42.1875</v>
      </c>
    </row>
    <row r="11" spans="1:7" x14ac:dyDescent="0.25">
      <c r="A11" s="158" t="s">
        <v>28</v>
      </c>
      <c r="B11" s="164"/>
      <c r="C11" s="164">
        <f>B9-C10</f>
        <v>225</v>
      </c>
      <c r="D11" s="164">
        <f>C11-D10</f>
        <v>168.75</v>
      </c>
      <c r="E11" s="164">
        <f>D11-E10</f>
        <v>126.5625</v>
      </c>
    </row>
    <row r="12" spans="1:7" x14ac:dyDescent="0.25">
      <c r="A12" s="158" t="s">
        <v>35</v>
      </c>
      <c r="B12" s="164"/>
      <c r="C12" s="164"/>
      <c r="D12" s="164"/>
      <c r="E12" s="164">
        <f>E11</f>
        <v>126.5625</v>
      </c>
    </row>
    <row r="13" spans="1:7" x14ac:dyDescent="0.25">
      <c r="A13" s="175" t="s">
        <v>29</v>
      </c>
      <c r="B13" s="165"/>
      <c r="C13" s="165">
        <f>B6</f>
        <v>110</v>
      </c>
      <c r="D13" s="165">
        <f>C13</f>
        <v>110</v>
      </c>
      <c r="E13" s="165">
        <f>D13</f>
        <v>110</v>
      </c>
    </row>
    <row r="14" spans="1:7" x14ac:dyDescent="0.25">
      <c r="B14" s="164"/>
      <c r="C14" s="164"/>
      <c r="D14" s="164"/>
      <c r="E14" s="164"/>
      <c r="G14" s="176"/>
    </row>
    <row r="15" spans="1:7" x14ac:dyDescent="0.25">
      <c r="A15" s="177" t="s">
        <v>40</v>
      </c>
      <c r="B15" s="164"/>
      <c r="C15" s="164"/>
      <c r="D15" s="164"/>
      <c r="E15" s="164"/>
    </row>
    <row r="16" spans="1:7" x14ac:dyDescent="0.25">
      <c r="A16" s="158" t="s">
        <v>38</v>
      </c>
      <c r="B16" s="164">
        <f>B9</f>
        <v>300</v>
      </c>
      <c r="C16" s="164"/>
      <c r="D16" s="164"/>
      <c r="E16" s="164"/>
    </row>
    <row r="17" spans="1:13" x14ac:dyDescent="0.25">
      <c r="A17" s="158" t="s">
        <v>30</v>
      </c>
      <c r="B17" s="164"/>
      <c r="C17" s="164"/>
      <c r="D17" s="164"/>
      <c r="E17" s="164"/>
      <c r="I17" s="158" t="s">
        <v>0</v>
      </c>
    </row>
    <row r="18" spans="1:13" x14ac:dyDescent="0.25">
      <c r="A18" s="158" t="s">
        <v>31</v>
      </c>
      <c r="B18" s="164"/>
      <c r="C18" s="164">
        <f>-$B$4*C10</f>
        <v>-16.5</v>
      </c>
      <c r="D18" s="164">
        <f>-$B$4*D10</f>
        <v>-12.375</v>
      </c>
      <c r="E18" s="164">
        <f>-$B$4*E10</f>
        <v>-9.28125</v>
      </c>
    </row>
    <row r="19" spans="1:13" x14ac:dyDescent="0.25">
      <c r="A19" s="158" t="s">
        <v>36</v>
      </c>
      <c r="B19" s="164"/>
      <c r="C19" s="164"/>
      <c r="D19" s="164"/>
      <c r="E19" s="164"/>
    </row>
    <row r="20" spans="1:13" x14ac:dyDescent="0.25">
      <c r="A20" s="158" t="s">
        <v>13</v>
      </c>
      <c r="B20" s="164"/>
      <c r="C20" s="164"/>
      <c r="D20" s="164"/>
      <c r="E20" s="164">
        <f>-E12</f>
        <v>-126.5625</v>
      </c>
      <c r="J20" s="158" t="s">
        <v>0</v>
      </c>
    </row>
    <row r="21" spans="1:13" x14ac:dyDescent="0.25">
      <c r="A21" s="175" t="s">
        <v>37</v>
      </c>
      <c r="B21" s="165"/>
      <c r="C21" s="165">
        <f>-C13*(1-$B$4)</f>
        <v>-85.8</v>
      </c>
      <c r="D21" s="165">
        <f>-D13*(1-$B$4)</f>
        <v>-85.8</v>
      </c>
      <c r="E21" s="165">
        <f>-E13*(1-$B$4)</f>
        <v>-85.8</v>
      </c>
      <c r="H21" s="158" t="s">
        <v>0</v>
      </c>
    </row>
    <row r="22" spans="1:13" ht="15.75" thickBot="1" x14ac:dyDescent="0.3">
      <c r="A22" s="178" t="s">
        <v>32</v>
      </c>
      <c r="B22" s="179">
        <f>B16</f>
        <v>300</v>
      </c>
      <c r="C22" s="179">
        <f>SUM(C16:C21)</f>
        <v>-102.3</v>
      </c>
      <c r="D22" s="179">
        <f>SUM(D16:D21)</f>
        <v>-98.174999999999997</v>
      </c>
      <c r="E22" s="179">
        <f>SUM(E16:E21)</f>
        <v>-221.64375000000001</v>
      </c>
      <c r="G22" s="158" t="s">
        <v>0</v>
      </c>
    </row>
    <row r="23" spans="1:13" ht="15.75" thickTop="1" x14ac:dyDescent="0.25"/>
    <row r="25" spans="1:13" x14ac:dyDescent="0.25">
      <c r="B25" s="163">
        <v>0</v>
      </c>
      <c r="C25" s="163">
        <v>5</v>
      </c>
      <c r="D25" s="163">
        <v>10</v>
      </c>
      <c r="E25" s="163">
        <v>15</v>
      </c>
      <c r="F25" s="163">
        <v>20</v>
      </c>
      <c r="G25" s="163">
        <v>25</v>
      </c>
      <c r="H25" s="163">
        <v>30</v>
      </c>
      <c r="I25" s="163">
        <v>35</v>
      </c>
      <c r="J25" s="158" t="s">
        <v>34</v>
      </c>
    </row>
    <row r="26" spans="1:13" x14ac:dyDescent="0.25">
      <c r="A26" s="158" t="s">
        <v>33</v>
      </c>
      <c r="B26" s="163">
        <f>$B$22+NPV(B$25/100,$C$22:$E$22)</f>
        <v>-122.11874999999998</v>
      </c>
      <c r="C26" s="163">
        <f t="shared" ref="C26:I26" si="0">$B$22+NPV(C$25/100,$C$22:$E$22)</f>
        <v>-77.940395205701293</v>
      </c>
      <c r="D26" s="163">
        <f t="shared" si="0"/>
        <v>-40.660593538692638</v>
      </c>
      <c r="E26" s="163">
        <f t="shared" si="0"/>
        <v>-8.9252897180899708</v>
      </c>
      <c r="F26" s="163">
        <f t="shared" si="0"/>
        <v>18.306857638888857</v>
      </c>
      <c r="G26" s="163">
        <f t="shared" si="0"/>
        <v>41.846400000000017</v>
      </c>
      <c r="H26" s="163">
        <f t="shared" si="0"/>
        <v>62.331247155211685</v>
      </c>
      <c r="I26" s="163">
        <f t="shared" si="0"/>
        <v>80.268556622466122</v>
      </c>
      <c r="J26" s="180">
        <f>IRR(B22:E22)</f>
        <v>0.16557774836849082</v>
      </c>
      <c r="M26" s="158" t="s">
        <v>0</v>
      </c>
    </row>
    <row r="27" spans="1:13" x14ac:dyDescent="0.25">
      <c r="B27" s="163" t="s">
        <v>0</v>
      </c>
      <c r="C27" s="163">
        <v>5</v>
      </c>
      <c r="D27" s="163">
        <v>10</v>
      </c>
      <c r="E27" s="163">
        <v>15</v>
      </c>
      <c r="F27" s="163">
        <v>20</v>
      </c>
      <c r="G27" s="163">
        <v>25</v>
      </c>
      <c r="H27" s="163">
        <v>30</v>
      </c>
      <c r="I27" s="163">
        <v>35</v>
      </c>
    </row>
    <row r="29" spans="1:13" x14ac:dyDescent="0.25">
      <c r="L29" s="158" t="s">
        <v>0</v>
      </c>
    </row>
  </sheetData>
  <phoneticPr fontId="1" type="noConversion"/>
  <pageMargins left="0.75" right="0.75" top="1" bottom="1" header="0.5" footer="0.5"/>
  <pageSetup paperSize="9" orientation="portrait" horizontalDpi="4294967293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B9"/>
  <sheetViews>
    <sheetView workbookViewId="0"/>
  </sheetViews>
  <sheetFormatPr baseColWidth="10" defaultColWidth="11.42578125" defaultRowHeight="12.75" x14ac:dyDescent="0.2"/>
  <cols>
    <col min="1" max="1" width="21.7109375" style="1" customWidth="1"/>
    <col min="2" max="16384" width="11.42578125" style="1"/>
  </cols>
  <sheetData>
    <row r="1" spans="1:2" x14ac:dyDescent="0.2">
      <c r="A1" s="50" t="s">
        <v>110</v>
      </c>
    </row>
    <row r="2" spans="1:2" ht="15.75" x14ac:dyDescent="0.25">
      <c r="A2" s="1" t="s">
        <v>59</v>
      </c>
      <c r="B2" s="12">
        <v>50</v>
      </c>
    </row>
    <row r="3" spans="1:2" ht="15.75" x14ac:dyDescent="0.25">
      <c r="A3" s="1" t="s">
        <v>17</v>
      </c>
      <c r="B3" s="12">
        <v>0.1</v>
      </c>
    </row>
    <row r="4" spans="1:2" ht="15.75" x14ac:dyDescent="0.25">
      <c r="A4" s="1" t="s">
        <v>60</v>
      </c>
      <c r="B4" s="12">
        <v>0.6</v>
      </c>
    </row>
    <row r="5" spans="1:2" ht="15.75" x14ac:dyDescent="0.25">
      <c r="A5" s="1" t="s">
        <v>64</v>
      </c>
      <c r="B5" s="12">
        <v>0.09</v>
      </c>
    </row>
    <row r="7" spans="1:2" x14ac:dyDescent="0.2">
      <c r="A7" s="1" t="s">
        <v>61</v>
      </c>
      <c r="B7" s="1">
        <f>B2*(1-B4)</f>
        <v>20</v>
      </c>
    </row>
    <row r="8" spans="1:2" x14ac:dyDescent="0.2">
      <c r="A8" s="1" t="s">
        <v>62</v>
      </c>
      <c r="B8" s="1">
        <f>B4*B5</f>
        <v>5.3999999999999999E-2</v>
      </c>
    </row>
    <row r="9" spans="1:2" x14ac:dyDescent="0.2">
      <c r="A9" s="1" t="s">
        <v>63</v>
      </c>
      <c r="B9" s="1">
        <f>(B2*(1-B4))/(B3-B8)</f>
        <v>434.78260869565213</v>
      </c>
    </row>
  </sheetData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D24"/>
  <sheetViews>
    <sheetView zoomScale="140" zoomScaleNormal="140" workbookViewId="0">
      <selection activeCell="A2" sqref="A2"/>
    </sheetView>
  </sheetViews>
  <sheetFormatPr baseColWidth="10" defaultColWidth="11.42578125" defaultRowHeight="12.75" x14ac:dyDescent="0.2"/>
  <cols>
    <col min="1" max="1" width="25.85546875" style="1" customWidth="1"/>
    <col min="2" max="16384" width="11.42578125" style="1"/>
  </cols>
  <sheetData>
    <row r="1" spans="1:2" x14ac:dyDescent="0.2">
      <c r="A1" s="51" t="s">
        <v>110</v>
      </c>
    </row>
    <row r="2" spans="1:2" ht="15.75" x14ac:dyDescent="0.25">
      <c r="A2" s="12">
        <v>0.08</v>
      </c>
    </row>
    <row r="3" spans="1:2" ht="15.75" x14ac:dyDescent="0.25">
      <c r="A3" s="12">
        <v>0.05</v>
      </c>
    </row>
    <row r="4" spans="1:2" ht="15.75" x14ac:dyDescent="0.25">
      <c r="A4" s="12">
        <v>0.02</v>
      </c>
    </row>
    <row r="5" spans="1:2" ht="15.75" x14ac:dyDescent="0.25">
      <c r="A5" s="12">
        <v>30</v>
      </c>
    </row>
    <row r="6" spans="1:2" x14ac:dyDescent="0.2">
      <c r="A6" s="1">
        <f>1+A2</f>
        <v>1.08</v>
      </c>
    </row>
    <row r="7" spans="1:2" x14ac:dyDescent="0.2">
      <c r="A7" s="1">
        <f>1+A3</f>
        <v>1.05</v>
      </c>
    </row>
    <row r="8" spans="1:2" x14ac:dyDescent="0.2">
      <c r="A8" s="1">
        <f>A2-A3</f>
        <v>0.03</v>
      </c>
    </row>
    <row r="9" spans="1:2" x14ac:dyDescent="0.2">
      <c r="A9" s="1">
        <f>A2-A4</f>
        <v>0.06</v>
      </c>
    </row>
    <row r="10" spans="1:2" x14ac:dyDescent="0.2">
      <c r="A10" s="1" t="s">
        <v>66</v>
      </c>
    </row>
    <row r="11" spans="1:2" x14ac:dyDescent="0.2">
      <c r="A11" s="1" t="s">
        <v>67</v>
      </c>
      <c r="B11" s="3">
        <f>A5*(A7^2)*(1+A4)</f>
        <v>33.736500000000007</v>
      </c>
    </row>
    <row r="12" spans="1:2" x14ac:dyDescent="0.2">
      <c r="A12" s="1" t="s">
        <v>68</v>
      </c>
      <c r="B12" s="3">
        <f>B11/A9</f>
        <v>562.27500000000009</v>
      </c>
    </row>
    <row r="13" spans="1:2" ht="15.75" x14ac:dyDescent="0.25">
      <c r="A13" s="1" t="s">
        <v>69</v>
      </c>
      <c r="B13" s="52">
        <f>B12/(A6^3)</f>
        <v>446.35202331961591</v>
      </c>
    </row>
    <row r="14" spans="1:2" x14ac:dyDescent="0.2">
      <c r="B14" s="3"/>
    </row>
    <row r="15" spans="1:2" x14ac:dyDescent="0.2">
      <c r="A15" s="1" t="s">
        <v>70</v>
      </c>
      <c r="B15" s="3"/>
    </row>
    <row r="16" spans="1:2" x14ac:dyDescent="0.2">
      <c r="A16" s="1" t="s">
        <v>71</v>
      </c>
      <c r="B16" s="3">
        <f>1/A8</f>
        <v>33.333333333333336</v>
      </c>
    </row>
    <row r="17" spans="1:4" x14ac:dyDescent="0.2">
      <c r="A17" s="1" t="s">
        <v>72</v>
      </c>
      <c r="B17" s="3">
        <f>((A7/A6)^3)/A8</f>
        <v>30.632001600365797</v>
      </c>
    </row>
    <row r="18" spans="1:4" x14ac:dyDescent="0.2">
      <c r="A18" s="1" t="s">
        <v>73</v>
      </c>
      <c r="B18" s="3">
        <f>B16-B17</f>
        <v>2.7013317329675388</v>
      </c>
    </row>
    <row r="19" spans="1:4" x14ac:dyDescent="0.2">
      <c r="B19" s="3"/>
    </row>
    <row r="20" spans="1:4" x14ac:dyDescent="0.2">
      <c r="A20" s="1" t="s">
        <v>74</v>
      </c>
      <c r="B20" s="3"/>
    </row>
    <row r="21" spans="1:4" ht="15.75" x14ac:dyDescent="0.25">
      <c r="A21" s="1" t="s">
        <v>75</v>
      </c>
      <c r="B21" s="52">
        <f>A5*B18</f>
        <v>81.039951989026164</v>
      </c>
      <c r="D21" s="1">
        <f>B21/B24</f>
        <v>0.15366170852637587</v>
      </c>
    </row>
    <row r="22" spans="1:4" x14ac:dyDescent="0.2">
      <c r="B22" s="3"/>
    </row>
    <row r="23" spans="1:4" x14ac:dyDescent="0.2">
      <c r="B23" s="3"/>
    </row>
    <row r="24" spans="1:4" ht="15.75" x14ac:dyDescent="0.25">
      <c r="A24" s="1" t="s">
        <v>76</v>
      </c>
      <c r="B24" s="52">
        <f>B13+B21</f>
        <v>527.39197530864203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3"/>
  <sheetViews>
    <sheetView zoomScaleNormal="100" workbookViewId="0">
      <selection activeCell="P3" sqref="P3"/>
    </sheetView>
  </sheetViews>
  <sheetFormatPr baseColWidth="10" defaultColWidth="9.140625" defaultRowHeight="15" outlineLevelRow="1" outlineLevelCol="2" x14ac:dyDescent="0.25"/>
  <cols>
    <col min="1" max="1" width="28.140625" style="15" customWidth="1"/>
    <col min="2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outlineLevel="1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1" x14ac:dyDescent="0.25">
      <c r="A4" s="15" t="s">
        <v>164</v>
      </c>
      <c r="B4" s="16"/>
    </row>
    <row r="5" spans="1:19" hidden="1" outlineLevel="1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1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1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1" x14ac:dyDescent="0.25">
      <c r="A8" s="15" t="s">
        <v>160</v>
      </c>
      <c r="B8" s="33">
        <f>-B48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hidden="1" outlineLevel="1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collapsed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  <c r="P15" s="15" t="s">
        <v>0</v>
      </c>
    </row>
    <row r="16" spans="1:19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x14ac:dyDescent="0.25">
      <c r="A24" s="15" t="s">
        <v>10</v>
      </c>
      <c r="C24" s="33">
        <f>-B25*J13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x14ac:dyDescent="0.25">
      <c r="A25" s="15" t="s">
        <v>153</v>
      </c>
      <c r="B25" s="39">
        <f>B13</f>
        <v>200</v>
      </c>
      <c r="C25" s="33"/>
      <c r="D25" s="33"/>
      <c r="E25" s="33"/>
      <c r="F25" s="33"/>
      <c r="G25" s="33">
        <f>B25</f>
        <v>200</v>
      </c>
      <c r="H25" s="83"/>
      <c r="J25" s="82"/>
      <c r="K25" s="91"/>
    </row>
    <row r="26" spans="1:12" x14ac:dyDescent="0.25">
      <c r="A26" s="15" t="s">
        <v>151</v>
      </c>
      <c r="B26" s="33"/>
      <c r="C26" s="33">
        <f>C16+C22+C24</f>
        <v>-113</v>
      </c>
      <c r="D26" s="33">
        <f>D16+D22+D24</f>
        <v>-109.14491246584174</v>
      </c>
      <c r="E26" s="33">
        <f>E16+E22+E24</f>
        <v>-105.23562143031714</v>
      </c>
      <c r="F26" s="33">
        <f>F16+F22+F24</f>
        <v>-101.26995875337157</v>
      </c>
      <c r="G26" s="33">
        <f>G16+G22+G24</f>
        <v>-97.245669569348166</v>
      </c>
      <c r="H26" s="39"/>
      <c r="J26" s="84"/>
      <c r="K26" s="88"/>
    </row>
    <row r="27" spans="1:12" x14ac:dyDescent="0.25">
      <c r="A27" s="15" t="s">
        <v>150</v>
      </c>
      <c r="B27" s="33"/>
      <c r="C27" s="33">
        <f>C17+C20</f>
        <v>-83.877188353956541</v>
      </c>
      <c r="D27" s="33">
        <f>D17+D20</f>
        <v>-85.232275888114799</v>
      </c>
      <c r="E27" s="33">
        <f>E17+E20</f>
        <v>-86.641566923639402</v>
      </c>
      <c r="F27" s="33">
        <f>F17+F20</f>
        <v>-88.107229600584972</v>
      </c>
      <c r="G27" s="33">
        <f>G17+G20</f>
        <v>-89.631518784608375</v>
      </c>
      <c r="H27" s="39"/>
      <c r="J27" s="84"/>
      <c r="K27" s="88"/>
    </row>
    <row r="28" spans="1:12" hidden="1" outlineLevel="1" x14ac:dyDescent="0.25">
      <c r="A28" s="15" t="s">
        <v>149</v>
      </c>
      <c r="B28" s="33">
        <f>B9+B11+B12+B13</f>
        <v>-424</v>
      </c>
      <c r="C28" s="33">
        <f>C9+C26+C27</f>
        <v>-119.35718835395654</v>
      </c>
      <c r="D28" s="33">
        <f>D9+D26+D27</f>
        <v>-115.30678835395655</v>
      </c>
      <c r="E28" s="33">
        <f>E9+E26+E27</f>
        <v>-111.22538035395655</v>
      </c>
      <c r="F28" s="33">
        <f>F9+F26+F27</f>
        <v>-107.11234419395656</v>
      </c>
      <c r="G28" s="33">
        <f>G9+G11+G12+G13+G26+G27</f>
        <v>1442.1467296801484</v>
      </c>
      <c r="H28" s="39"/>
      <c r="J28" s="84"/>
      <c r="K28" s="91" t="s">
        <v>148</v>
      </c>
      <c r="L28" s="82">
        <f>IRR(B28:G28)</f>
        <v>0.13737943589394597</v>
      </c>
    </row>
    <row r="29" spans="1:12" hidden="1" outlineLevel="1" x14ac:dyDescent="0.25">
      <c r="A29" s="15" t="s">
        <v>147</v>
      </c>
      <c r="B29" s="33"/>
      <c r="C29" s="33"/>
      <c r="D29" s="33"/>
      <c r="E29" s="33"/>
      <c r="F29" s="33"/>
      <c r="G29" s="33"/>
      <c r="H29" s="39"/>
      <c r="J29" s="84"/>
      <c r="K29" s="88"/>
    </row>
    <row r="30" spans="1:12" hidden="1" outlineLevel="1" x14ac:dyDescent="0.25">
      <c r="A30" s="89" t="s">
        <v>146</v>
      </c>
      <c r="B30" s="33"/>
      <c r="C30" s="33"/>
      <c r="D30" s="33"/>
      <c r="E30" s="33"/>
      <c r="F30" s="33"/>
      <c r="G30" s="33">
        <f>G5+G6+B5+B6</f>
        <v>611.62399744000095</v>
      </c>
      <c r="H30" s="39"/>
      <c r="J30" s="84"/>
      <c r="K30" s="88"/>
    </row>
    <row r="31" spans="1:12" hidden="1" outlineLevel="1" x14ac:dyDescent="0.25">
      <c r="A31" s="15" t="s">
        <v>145</v>
      </c>
      <c r="B31" s="33"/>
      <c r="C31" s="33"/>
      <c r="D31" s="33"/>
      <c r="E31" s="33"/>
      <c r="F31" s="33"/>
      <c r="G31" s="33">
        <f>-G30*I31*J35*J33</f>
        <v>-89.704852957866791</v>
      </c>
      <c r="H31" s="39"/>
      <c r="I31" s="16">
        <v>1</v>
      </c>
      <c r="K31" s="90"/>
    </row>
    <row r="32" spans="1:12" hidden="1" outlineLevel="1" x14ac:dyDescent="0.25">
      <c r="A32" s="15" t="s">
        <v>144</v>
      </c>
      <c r="B32" s="33"/>
      <c r="C32" s="33">
        <f>-C26*$I$32*$J$35</f>
        <v>24.86</v>
      </c>
      <c r="D32" s="33">
        <f>-D26*$I$32*$J$35</f>
        <v>24.011880742485182</v>
      </c>
      <c r="E32" s="33">
        <f>-E26*$I$32*$J$35</f>
        <v>23.15183671466977</v>
      </c>
      <c r="F32" s="33">
        <f>-F26*$I$32*$J$35</f>
        <v>22.279390925741744</v>
      </c>
      <c r="G32" s="33">
        <f>-G26*$I$32*$J$35</f>
        <v>21.394047305256596</v>
      </c>
      <c r="I32" s="83">
        <v>1</v>
      </c>
      <c r="J32" s="84"/>
      <c r="K32" s="88"/>
    </row>
    <row r="33" spans="1:12" hidden="1" outlineLevel="1" x14ac:dyDescent="0.25">
      <c r="A33" s="89" t="s">
        <v>143</v>
      </c>
      <c r="B33" s="33">
        <f t="shared" ref="B33:G33" si="2">B7+(B8*$J$33)</f>
        <v>98.666666666666671</v>
      </c>
      <c r="C33" s="33">
        <f t="shared" si="2"/>
        <v>100.64</v>
      </c>
      <c r="D33" s="33">
        <f t="shared" si="2"/>
        <v>102.6528</v>
      </c>
      <c r="E33" s="33">
        <f t="shared" si="2"/>
        <v>104.705856</v>
      </c>
      <c r="F33" s="33">
        <f t="shared" si="2"/>
        <v>106.79997311999999</v>
      </c>
      <c r="G33" s="33">
        <f t="shared" si="2"/>
        <v>108.93597258240001</v>
      </c>
      <c r="I33" s="83"/>
      <c r="J33" s="85">
        <f>I7/(I7+1)</f>
        <v>0.66666666666666663</v>
      </c>
      <c r="K33" s="48"/>
    </row>
    <row r="34" spans="1:12" hidden="1" outlineLevel="1" x14ac:dyDescent="0.25">
      <c r="A34" s="15" t="s">
        <v>142</v>
      </c>
      <c r="B34" s="33">
        <f t="shared" ref="B34:G34" si="3">-B33*$I$31*$J$35</f>
        <v>-21.706666666666667</v>
      </c>
      <c r="C34" s="33">
        <f t="shared" si="3"/>
        <v>-22.140799999999999</v>
      </c>
      <c r="D34" s="33">
        <f t="shared" si="3"/>
        <v>-22.583615999999999</v>
      </c>
      <c r="E34" s="33">
        <f t="shared" si="3"/>
        <v>-23.035288319999999</v>
      </c>
      <c r="F34" s="33">
        <f t="shared" si="3"/>
        <v>-23.4959940864</v>
      </c>
      <c r="G34" s="33">
        <f t="shared" si="3"/>
        <v>-23.965913968128003</v>
      </c>
      <c r="I34" s="83"/>
      <c r="J34" s="84"/>
      <c r="K34" s="88"/>
    </row>
    <row r="35" spans="1:12" hidden="1" outlineLevel="1" x14ac:dyDescent="0.25">
      <c r="A35" s="15" t="s">
        <v>141</v>
      </c>
      <c r="B35" s="33">
        <f>B32+B34</f>
        <v>-21.706666666666667</v>
      </c>
      <c r="C35" s="33">
        <f>C32+C34</f>
        <v>2.7192000000000007</v>
      </c>
      <c r="D35" s="33">
        <f>D32+D34</f>
        <v>1.4282647424851831</v>
      </c>
      <c r="E35" s="33">
        <f>E32+E34</f>
        <v>0.11654839466977052</v>
      </c>
      <c r="F35" s="33">
        <f>F32+F34</f>
        <v>-1.2166031606582557</v>
      </c>
      <c r="G35" s="33">
        <f>G31+G32+G34</f>
        <v>-92.276719620738206</v>
      </c>
      <c r="I35" s="83"/>
      <c r="J35" s="45">
        <v>0.22</v>
      </c>
      <c r="K35" s="88"/>
    </row>
    <row r="36" spans="1:12" hidden="1" outlineLevel="1" x14ac:dyDescent="0.25">
      <c r="A36" s="15" t="s">
        <v>140</v>
      </c>
      <c r="B36" s="33">
        <f t="shared" ref="B36:G36" si="4">B28+B35</f>
        <v>-445.70666666666665</v>
      </c>
      <c r="C36" s="33">
        <f t="shared" si="4"/>
        <v>-116.63798835395654</v>
      </c>
      <c r="D36" s="33">
        <f t="shared" si="4"/>
        <v>-113.87852361147137</v>
      </c>
      <c r="E36" s="33">
        <f t="shared" si="4"/>
        <v>-111.10883195928679</v>
      </c>
      <c r="F36" s="33">
        <f t="shared" si="4"/>
        <v>-108.32894735461481</v>
      </c>
      <c r="G36" s="33">
        <f t="shared" si="4"/>
        <v>1349.8700100594101</v>
      </c>
      <c r="H36" s="39"/>
      <c r="K36" s="87" t="s">
        <v>139</v>
      </c>
      <c r="L36" s="82">
        <f>IRR(B36:G36)</f>
        <v>0.11184532853363227</v>
      </c>
    </row>
    <row r="37" spans="1:12" hidden="1" outlineLevel="1" x14ac:dyDescent="0.25">
      <c r="A37" s="15" t="s">
        <v>138</v>
      </c>
      <c r="B37" s="33">
        <f>-H37*12/1000</f>
        <v>-84</v>
      </c>
      <c r="C37" s="33">
        <f>B37*(1+$J$7)</f>
        <v>-85.68</v>
      </c>
      <c r="D37" s="33">
        <f>C37*(1+$J$7)</f>
        <v>-87.393600000000006</v>
      </c>
      <c r="E37" s="33">
        <f>D37*(1+$J$7)</f>
        <v>-89.141472000000007</v>
      </c>
      <c r="F37" s="33">
        <f>E37*(1+$J$7)</f>
        <v>-90.924301440000008</v>
      </c>
      <c r="G37" s="33">
        <f>F37*(1+$J$7)</f>
        <v>-92.742787468800003</v>
      </c>
      <c r="H37" s="83">
        <v>7000</v>
      </c>
      <c r="J37" s="85"/>
      <c r="K37" s="87"/>
    </row>
    <row r="38" spans="1:12" hidden="1" outlineLevel="1" x14ac:dyDescent="0.25">
      <c r="A38" s="15" t="s">
        <v>40</v>
      </c>
      <c r="B38" s="33">
        <f t="shared" ref="B38:G38" si="5">B36-B37</f>
        <v>-361.70666666666665</v>
      </c>
      <c r="C38" s="33">
        <f t="shared" si="5"/>
        <v>-30.957988353956537</v>
      </c>
      <c r="D38" s="33">
        <f t="shared" si="5"/>
        <v>-26.484923611471359</v>
      </c>
      <c r="E38" s="33">
        <f t="shared" si="5"/>
        <v>-21.967359959286782</v>
      </c>
      <c r="F38" s="33">
        <f t="shared" si="5"/>
        <v>-17.404645914614804</v>
      </c>
      <c r="G38" s="33">
        <f t="shared" si="5"/>
        <v>1442.6127975282102</v>
      </c>
      <c r="H38" s="39"/>
      <c r="K38" s="48" t="s">
        <v>137</v>
      </c>
      <c r="L38" s="82">
        <f>IRR(B38:G38)</f>
        <v>0.28054179459225281</v>
      </c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B40" s="86"/>
      <c r="C40" s="86"/>
      <c r="D40" s="86"/>
      <c r="E40" s="86"/>
      <c r="F40" s="86"/>
      <c r="G40" s="86"/>
    </row>
    <row r="41" spans="1:12" hidden="1" outlineLevel="1" x14ac:dyDescent="0.25">
      <c r="A41" s="15" t="s">
        <v>136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135</v>
      </c>
      <c r="B42" s="16">
        <v>18</v>
      </c>
      <c r="C42" s="86"/>
      <c r="D42" s="86"/>
      <c r="E42" s="86"/>
      <c r="F42" s="86"/>
      <c r="G42" s="86"/>
      <c r="J42" s="82"/>
      <c r="K42" s="82"/>
    </row>
    <row r="43" spans="1:12" hidden="1" outlineLevel="1" x14ac:dyDescent="0.25">
      <c r="A43" s="15" t="s">
        <v>134</v>
      </c>
      <c r="B43" s="16">
        <v>10</v>
      </c>
      <c r="F43" s="86"/>
    </row>
    <row r="44" spans="1:12" hidden="1" outlineLevel="1" x14ac:dyDescent="0.25">
      <c r="A44" s="15" t="s">
        <v>112</v>
      </c>
      <c r="B44" s="16">
        <v>15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133</v>
      </c>
      <c r="B46" s="16">
        <v>10</v>
      </c>
    </row>
    <row r="47" spans="1:12" hidden="1" outlineLevel="1" x14ac:dyDescent="0.25">
      <c r="A47" s="15" t="s">
        <v>132</v>
      </c>
      <c r="B47" s="16">
        <v>5</v>
      </c>
      <c r="F47" s="85"/>
      <c r="G47" s="85"/>
      <c r="H47" s="85"/>
      <c r="I47" s="85"/>
      <c r="J47" s="85"/>
      <c r="K47" s="85"/>
    </row>
    <row r="48" spans="1:12" hidden="1" outlineLevel="1" x14ac:dyDescent="0.25">
      <c r="A48" s="15" t="s">
        <v>18</v>
      </c>
      <c r="B48" s="15">
        <f>SUM(B42:B47)</f>
        <v>68</v>
      </c>
      <c r="D48" s="16"/>
      <c r="F48" s="39"/>
      <c r="G48" s="39"/>
      <c r="H48" s="39"/>
      <c r="I48" s="39"/>
      <c r="J48" s="39"/>
      <c r="K48" s="39"/>
    </row>
    <row r="49" spans="2:12" collapsed="1" x14ac:dyDescent="0.25"/>
    <row r="50" spans="2:12" x14ac:dyDescent="0.25">
      <c r="B50" s="33"/>
      <c r="C50" s="33"/>
      <c r="D50" s="33"/>
      <c r="E50" s="33"/>
      <c r="F50" s="33"/>
      <c r="G50" s="33"/>
      <c r="I50" s="83"/>
      <c r="J50" s="84"/>
      <c r="K50" s="84"/>
    </row>
    <row r="51" spans="2:12" x14ac:dyDescent="0.25">
      <c r="B51" s="33"/>
      <c r="C51" s="33"/>
      <c r="D51" s="33"/>
      <c r="E51" s="33"/>
      <c r="F51" s="33"/>
      <c r="G51" s="33"/>
      <c r="H51" s="83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J52" s="82"/>
      <c r="K52" s="82"/>
    </row>
    <row r="53" spans="2:12" x14ac:dyDescent="0.25">
      <c r="B53" s="33"/>
      <c r="C53" s="33"/>
      <c r="D53" s="33"/>
      <c r="E53" s="33"/>
      <c r="F53" s="33"/>
      <c r="G53" s="33"/>
      <c r="H53" s="39"/>
      <c r="I53" s="16"/>
      <c r="L53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2"/>
  <sheetViews>
    <sheetView zoomScaleNormal="100" workbookViewId="0">
      <selection activeCell="F51" sqref="F51"/>
    </sheetView>
  </sheetViews>
  <sheetFormatPr baseColWidth="10" defaultColWidth="9.140625" defaultRowHeight="15" outlineLevelRow="2" outlineLevelCol="2" x14ac:dyDescent="0.25"/>
  <cols>
    <col min="1" max="1" width="28.140625" style="15" customWidth="1"/>
    <col min="2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outlineLevel="1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1" x14ac:dyDescent="0.25">
      <c r="A4" s="15" t="s">
        <v>164</v>
      </c>
      <c r="B4" s="16"/>
    </row>
    <row r="5" spans="1:19" hidden="1" outlineLevel="1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1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1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1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collapsed="1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1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1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1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1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1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1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1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1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1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1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collapsed="1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2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2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2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2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2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2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collapsed="1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hidden="1" outlineLevel="1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hidden="1" outlineLevel="1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hidden="1" outlineLevel="1" x14ac:dyDescent="0.25">
      <c r="B38" s="86"/>
      <c r="C38" s="86"/>
      <c r="D38" s="86"/>
      <c r="E38" s="86"/>
      <c r="F38" s="86"/>
      <c r="G38" s="86"/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  <c r="C44" s="15">
        <f>B11+C25</f>
        <v>1787</v>
      </c>
      <c r="D44" s="15">
        <f>C44+D25</f>
        <v>1677.8550875341582</v>
      </c>
      <c r="E44" s="15">
        <f>D44+E25</f>
        <v>1572.619466103841</v>
      </c>
      <c r="F44" s="15">
        <f>E44+F25</f>
        <v>1471.3495073504694</v>
      </c>
      <c r="G44" s="15">
        <f>F44+G25</f>
        <v>1374.1038377811212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collapsed="1" x14ac:dyDescent="0.25"/>
    <row r="49" spans="2:12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L52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52"/>
  <sheetViews>
    <sheetView zoomScaleNormal="100" workbookViewId="0"/>
  </sheetViews>
  <sheetFormatPr baseColWidth="10" defaultColWidth="9.140625" defaultRowHeight="15" outlineLevelRow="1" outlineLevelCol="2" x14ac:dyDescent="0.25"/>
  <cols>
    <col min="1" max="1" width="28.140625" style="15" customWidth="1"/>
    <col min="2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outlineLevel="1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1" x14ac:dyDescent="0.25">
      <c r="A4" s="15" t="s">
        <v>164</v>
      </c>
      <c r="B4" s="16"/>
    </row>
    <row r="5" spans="1:19" hidden="1" outlineLevel="1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1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1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1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hidden="1" outlineLevel="1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1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1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1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1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1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1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1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1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1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1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hidden="1" outlineLevel="1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hidden="1" outlineLevel="1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hidden="1" outlineLevel="1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1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1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1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1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1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1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hidden="1" outlineLevel="1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collapsed="1" x14ac:dyDescent="0.25">
      <c r="A35" s="15" t="s">
        <v>167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x14ac:dyDescent="0.25">
      <c r="B38" s="86"/>
      <c r="C38" s="86"/>
      <c r="D38" s="86"/>
      <c r="E38" s="86"/>
      <c r="F38" s="86"/>
      <c r="G38" s="86"/>
    </row>
    <row r="39" spans="1:12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  <c r="C44" s="15">
        <f>B11+C25</f>
        <v>1787</v>
      </c>
      <c r="D44" s="15">
        <f>C44+D25</f>
        <v>1677.8550875341582</v>
      </c>
      <c r="E44" s="15">
        <f>D44+E25</f>
        <v>1572.619466103841</v>
      </c>
      <c r="F44" s="15">
        <f>E44+F25</f>
        <v>1471.3495073504694</v>
      </c>
      <c r="G44" s="15">
        <f>F44+G25</f>
        <v>1374.1038377811212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collapsed="1" x14ac:dyDescent="0.25"/>
    <row r="49" spans="2:12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L52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55"/>
  <sheetViews>
    <sheetView topLeftCell="A51" zoomScaleNormal="100" workbookViewId="0">
      <selection activeCell="K64" sqref="K64"/>
    </sheetView>
  </sheetViews>
  <sheetFormatPr baseColWidth="10" defaultColWidth="9.140625" defaultRowHeight="15" outlineLevelRow="2" outlineLevelCol="2" x14ac:dyDescent="0.25"/>
  <cols>
    <col min="1" max="1" width="28.140625" style="15" customWidth="1"/>
    <col min="2" max="7" width="7.28515625" style="15" customWidth="1"/>
    <col min="8" max="8" width="6" style="15" customWidth="1" outlineLevel="2"/>
    <col min="9" max="9" width="3.42578125" style="15" customWidth="1" outlineLevel="2"/>
    <col min="10" max="10" width="7.42578125" style="15" customWidth="1" outlineLevel="2"/>
    <col min="11" max="11" width="12.28515625" style="15" customWidth="1" outlineLevel="2" collapsed="1"/>
    <col min="12" max="12" width="10.7109375" style="15" customWidth="1" outlineLevel="2"/>
    <col min="13" max="13" width="8.5703125" style="15" customWidth="1"/>
    <col min="14" max="19" width="7.140625" style="15" customWidth="1"/>
    <col min="20" max="16384" width="9.140625" style="15"/>
  </cols>
  <sheetData>
    <row r="1" spans="1:19" hidden="1" outlineLevel="2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hidden="1" outlineLevel="2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hidden="1" outlineLevel="2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2" x14ac:dyDescent="0.25">
      <c r="A4" s="15" t="s">
        <v>164</v>
      </c>
      <c r="B4" s="16"/>
    </row>
    <row r="5" spans="1:19" hidden="1" outlineLevel="2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2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2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2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hidden="1" outlineLevel="2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2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2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2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2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2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2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2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2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2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2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2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2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2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2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2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hidden="1" outlineLevel="2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hidden="1" outlineLevel="2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hidden="1" outlineLevel="2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2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2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2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2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2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2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hidden="1" outlineLevel="2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hidden="1" outlineLevel="2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hidden="1" outlineLevel="2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hidden="1" outlineLevel="1" collapsed="1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hidden="1" outlineLevel="1" x14ac:dyDescent="0.25">
      <c r="B38" s="86"/>
      <c r="C38" s="86"/>
      <c r="D38" s="86"/>
      <c r="E38" s="86"/>
      <c r="F38" s="86"/>
      <c r="G38" s="86"/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hidden="1" outlineLevel="1" x14ac:dyDescent="0.25"/>
    <row r="49" spans="1:12" hidden="1" outlineLevel="1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1:12" hidden="1" outlineLevel="1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1:12" collapsed="1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1:12" x14ac:dyDescent="0.25">
      <c r="B52" s="33"/>
      <c r="C52" s="33"/>
      <c r="D52" s="33"/>
      <c r="E52" s="33"/>
      <c r="F52" s="33"/>
      <c r="G52" s="33"/>
      <c r="H52" s="39"/>
      <c r="I52" s="16"/>
      <c r="L52" s="82"/>
    </row>
    <row r="53" spans="1:12" x14ac:dyDescent="0.25">
      <c r="B53" s="184" t="s">
        <v>17</v>
      </c>
      <c r="C53" s="184"/>
      <c r="D53" s="184"/>
      <c r="E53" s="184"/>
      <c r="F53" s="184"/>
      <c r="G53" s="184"/>
    </row>
    <row r="54" spans="1:12" x14ac:dyDescent="0.25">
      <c r="B54" s="15">
        <v>0</v>
      </c>
      <c r="C54" s="85">
        <v>0.1</v>
      </c>
      <c r="D54" s="85">
        <v>0.2</v>
      </c>
      <c r="E54" s="85">
        <v>0.3</v>
      </c>
      <c r="F54" s="85">
        <v>0.4</v>
      </c>
      <c r="G54" s="85">
        <v>0.5</v>
      </c>
    </row>
    <row r="55" spans="1:12" x14ac:dyDescent="0.25">
      <c r="A55" s="15" t="s">
        <v>92</v>
      </c>
      <c r="B55" s="95">
        <f t="shared" ref="B55:G55" si="6">NPV(B54,$B$37:$G$37)*(1+B54)</f>
        <v>984.09121302221411</v>
      </c>
      <c r="C55" s="95">
        <f t="shared" si="6"/>
        <v>455.61837781955211</v>
      </c>
      <c r="D55" s="95">
        <f t="shared" si="6"/>
        <v>152.7503932926283</v>
      </c>
      <c r="E55" s="95">
        <f t="shared" si="6"/>
        <v>-28.747135569695274</v>
      </c>
      <c r="F55" s="95">
        <f t="shared" si="6"/>
        <v>-141.63701018478577</v>
      </c>
      <c r="G55" s="95">
        <f t="shared" si="6"/>
        <v>-214.08950314175843</v>
      </c>
    </row>
  </sheetData>
  <mergeCells count="3">
    <mergeCell ref="N1:S1"/>
    <mergeCell ref="C2:G2"/>
    <mergeCell ref="B53:G53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52"/>
  <sheetViews>
    <sheetView topLeftCell="A28" zoomScaleNormal="100" workbookViewId="0">
      <selection activeCell="Q7" sqref="Q7"/>
    </sheetView>
  </sheetViews>
  <sheetFormatPr baseColWidth="10" defaultColWidth="9.140625" defaultRowHeight="15" outlineLevelCol="2" x14ac:dyDescent="0.25"/>
  <cols>
    <col min="1" max="1" width="28.140625" style="15" customWidth="1"/>
    <col min="2" max="2" width="8.7109375" style="15" customWidth="1"/>
    <col min="3" max="7" width="7.28515625" style="15" customWidth="1"/>
    <col min="8" max="8" width="8.28515625" style="15" customWidth="1" outlineLevel="2"/>
    <col min="9" max="9" width="3.42578125" style="15" customWidth="1" outlineLevel="2"/>
    <col min="10" max="10" width="7.42578125" style="15" customWidth="1" outlineLevel="2"/>
    <col min="11" max="11" width="12.28515625" style="15" customWidth="1"/>
    <col min="12" max="12" width="10.7109375" style="15" customWidth="1"/>
    <col min="13" max="13" width="8.5703125" style="15" customWidth="1"/>
    <col min="14" max="19" width="7.140625" style="15" customWidth="1"/>
    <col min="20" max="16384" width="9.140625" style="15"/>
  </cols>
  <sheetData>
    <row r="1" spans="1:19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x14ac:dyDescent="0.25">
      <c r="A4" s="15" t="s">
        <v>164</v>
      </c>
      <c r="B4" s="16"/>
    </row>
    <row r="5" spans="1:19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x14ac:dyDescent="0.25">
      <c r="B38" s="86"/>
      <c r="C38" s="86"/>
      <c r="D38" s="86"/>
      <c r="E38" s="86"/>
      <c r="F38" s="86"/>
      <c r="G38" s="86"/>
    </row>
    <row r="39" spans="1:12" x14ac:dyDescent="0.25">
      <c r="B39" s="86"/>
      <c r="C39" s="86"/>
      <c r="D39" s="86"/>
      <c r="E39" s="86"/>
      <c r="F39" s="86"/>
      <c r="G39" s="86"/>
    </row>
    <row r="40" spans="1:12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x14ac:dyDescent="0.25">
      <c r="A42" s="15" t="s">
        <v>134</v>
      </c>
      <c r="B42" s="16">
        <v>10</v>
      </c>
      <c r="F42" s="86"/>
    </row>
    <row r="43" spans="1:12" x14ac:dyDescent="0.25">
      <c r="A43" s="15" t="s">
        <v>112</v>
      </c>
      <c r="B43" s="16">
        <v>15</v>
      </c>
    </row>
    <row r="44" spans="1:12" x14ac:dyDescent="0.25">
      <c r="A44" s="15" t="s">
        <v>133</v>
      </c>
      <c r="B44" s="16">
        <v>10</v>
      </c>
    </row>
    <row r="45" spans="1:12" x14ac:dyDescent="0.25">
      <c r="A45" s="15" t="s">
        <v>133</v>
      </c>
      <c r="B45" s="16">
        <v>10</v>
      </c>
    </row>
    <row r="46" spans="1:12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9" spans="2:12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L52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I21"/>
  <sheetViews>
    <sheetView zoomScaleNormal="100" workbookViewId="0"/>
  </sheetViews>
  <sheetFormatPr baseColWidth="10" defaultColWidth="11.42578125" defaultRowHeight="14.25" outlineLevelRow="1" outlineLevelCol="1" x14ac:dyDescent="0.2"/>
  <cols>
    <col min="1" max="1" width="21.28515625" style="96" customWidth="1"/>
    <col min="2" max="2" width="13.5703125" style="96" customWidth="1"/>
    <col min="3" max="3" width="8" style="96" customWidth="1"/>
    <col min="4" max="4" width="11.42578125" style="96" customWidth="1"/>
    <col min="5" max="5" width="11.28515625" style="96" customWidth="1"/>
    <col min="6" max="7" width="7.28515625" style="96" customWidth="1"/>
    <col min="8" max="15" width="9.140625" style="96" hidden="1" customWidth="1" outlineLevel="1"/>
    <col min="16" max="16" width="7.7109375" style="96" customWidth="1" collapsed="1"/>
    <col min="17" max="17" width="8.140625" style="96" customWidth="1"/>
    <col min="18" max="18" width="5.5703125" style="96" customWidth="1"/>
    <col min="19" max="19" width="14.28515625" style="96" customWidth="1"/>
    <col min="20" max="20" width="9.28515625" style="96" bestFit="1" customWidth="1"/>
    <col min="21" max="21" width="11.42578125" style="96" customWidth="1"/>
    <col min="22" max="22" width="18" style="96" customWidth="1"/>
    <col min="23" max="16384" width="11.42578125" style="96"/>
  </cols>
  <sheetData>
    <row r="1" spans="1:35" ht="15" x14ac:dyDescent="0.25">
      <c r="A1" s="58" t="s">
        <v>102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35" ht="15" x14ac:dyDescent="0.25">
      <c r="A2" s="58"/>
      <c r="B2" s="58"/>
      <c r="C2" s="58"/>
      <c r="D2" s="58"/>
      <c r="E2" s="58"/>
      <c r="F2" s="185" t="s">
        <v>53</v>
      </c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58"/>
    </row>
    <row r="3" spans="1:35" ht="15" x14ac:dyDescent="0.25">
      <c r="A3" s="58"/>
      <c r="B3" s="60" t="s">
        <v>113</v>
      </c>
      <c r="C3" s="58"/>
      <c r="D3" s="60" t="s">
        <v>114</v>
      </c>
      <c r="E3" s="58"/>
      <c r="F3" s="61">
        <v>2020</v>
      </c>
      <c r="G3" s="58">
        <f t="shared" ref="G3:P3" si="0">F3+1</f>
        <v>2021</v>
      </c>
      <c r="H3" s="58">
        <f t="shared" si="0"/>
        <v>2022</v>
      </c>
      <c r="I3" s="58">
        <f t="shared" si="0"/>
        <v>2023</v>
      </c>
      <c r="J3" s="58">
        <f t="shared" si="0"/>
        <v>2024</v>
      </c>
      <c r="K3" s="58">
        <f t="shared" si="0"/>
        <v>2025</v>
      </c>
      <c r="L3" s="58">
        <f t="shared" si="0"/>
        <v>2026</v>
      </c>
      <c r="M3" s="58">
        <f t="shared" si="0"/>
        <v>2027</v>
      </c>
      <c r="N3" s="58">
        <f t="shared" si="0"/>
        <v>2028</v>
      </c>
      <c r="O3" s="58">
        <f t="shared" si="0"/>
        <v>2029</v>
      </c>
      <c r="P3" s="58">
        <f t="shared" si="0"/>
        <v>2030</v>
      </c>
      <c r="Q3" s="58"/>
    </row>
    <row r="4" spans="1:35" ht="15" x14ac:dyDescent="0.25">
      <c r="A4" s="62" t="s">
        <v>115</v>
      </c>
      <c r="B4" s="63">
        <v>10000</v>
      </c>
      <c r="C4" s="64" t="s">
        <v>116</v>
      </c>
      <c r="D4" s="63">
        <v>15000</v>
      </c>
      <c r="E4" s="64" t="s">
        <v>117</v>
      </c>
      <c r="F4" s="63"/>
      <c r="G4" s="58">
        <f t="shared" ref="G4:P4" si="1">$D$4*$B$4/1000000</f>
        <v>150</v>
      </c>
      <c r="H4" s="58">
        <f t="shared" si="1"/>
        <v>150</v>
      </c>
      <c r="I4" s="58">
        <f t="shared" si="1"/>
        <v>150</v>
      </c>
      <c r="J4" s="58">
        <f t="shared" si="1"/>
        <v>150</v>
      </c>
      <c r="K4" s="58">
        <f t="shared" si="1"/>
        <v>150</v>
      </c>
      <c r="L4" s="58">
        <f t="shared" si="1"/>
        <v>150</v>
      </c>
      <c r="M4" s="58">
        <f t="shared" si="1"/>
        <v>150</v>
      </c>
      <c r="N4" s="58">
        <f t="shared" si="1"/>
        <v>150</v>
      </c>
      <c r="O4" s="58">
        <f t="shared" si="1"/>
        <v>150</v>
      </c>
      <c r="P4" s="58">
        <f t="shared" si="1"/>
        <v>150</v>
      </c>
      <c r="Q4" s="58" t="s">
        <v>118</v>
      </c>
      <c r="S4" s="97"/>
      <c r="AA4" s="98"/>
      <c r="AB4" s="98"/>
      <c r="AC4" s="98"/>
      <c r="AD4" s="98"/>
      <c r="AE4" s="98"/>
      <c r="AF4" s="98"/>
      <c r="AG4" s="98"/>
      <c r="AH4" s="98"/>
      <c r="AI4" s="98"/>
    </row>
    <row r="5" spans="1:35" ht="15" x14ac:dyDescent="0.25">
      <c r="A5" s="62" t="s">
        <v>119</v>
      </c>
      <c r="B5" s="63">
        <v>20000</v>
      </c>
      <c r="C5" s="64" t="s">
        <v>116</v>
      </c>
      <c r="D5" s="63">
        <v>2500</v>
      </c>
      <c r="E5" s="64" t="s">
        <v>117</v>
      </c>
      <c r="F5" s="63"/>
      <c r="G5" s="58">
        <f t="shared" ref="G5:P5" si="2">-$D$5*$B$5/1000000</f>
        <v>-50</v>
      </c>
      <c r="H5" s="58">
        <f t="shared" si="2"/>
        <v>-50</v>
      </c>
      <c r="I5" s="58">
        <f t="shared" si="2"/>
        <v>-50</v>
      </c>
      <c r="J5" s="58">
        <f t="shared" si="2"/>
        <v>-50</v>
      </c>
      <c r="K5" s="58">
        <f t="shared" si="2"/>
        <v>-50</v>
      </c>
      <c r="L5" s="58">
        <f t="shared" si="2"/>
        <v>-50</v>
      </c>
      <c r="M5" s="58">
        <f t="shared" si="2"/>
        <v>-50</v>
      </c>
      <c r="N5" s="58">
        <f t="shared" si="2"/>
        <v>-50</v>
      </c>
      <c r="O5" s="58">
        <f t="shared" si="2"/>
        <v>-50</v>
      </c>
      <c r="P5" s="58">
        <f t="shared" si="2"/>
        <v>-50</v>
      </c>
      <c r="Q5" s="58" t="s">
        <v>120</v>
      </c>
    </row>
    <row r="6" spans="1:35" ht="15" x14ac:dyDescent="0.25">
      <c r="A6" s="58" t="s">
        <v>112</v>
      </c>
      <c r="B6" s="63">
        <v>145000000</v>
      </c>
      <c r="C6" s="67" t="s">
        <v>121</v>
      </c>
      <c r="D6" s="68">
        <v>0.35</v>
      </c>
      <c r="E6" s="69" t="s">
        <v>122</v>
      </c>
      <c r="F6" s="63"/>
      <c r="G6" s="70">
        <f t="shared" ref="G6:P6" si="3">-$D$6*$B$6/1000000</f>
        <v>-50.75</v>
      </c>
      <c r="H6" s="70">
        <f t="shared" si="3"/>
        <v>-50.75</v>
      </c>
      <c r="I6" s="70">
        <f t="shared" si="3"/>
        <v>-50.75</v>
      </c>
      <c r="J6" s="70">
        <f t="shared" si="3"/>
        <v>-50.75</v>
      </c>
      <c r="K6" s="70">
        <f t="shared" si="3"/>
        <v>-50.75</v>
      </c>
      <c r="L6" s="70">
        <f t="shared" si="3"/>
        <v>-50.75</v>
      </c>
      <c r="M6" s="70">
        <f t="shared" si="3"/>
        <v>-50.75</v>
      </c>
      <c r="N6" s="70">
        <f t="shared" si="3"/>
        <v>-50.75</v>
      </c>
      <c r="O6" s="70">
        <f t="shared" si="3"/>
        <v>-50.75</v>
      </c>
      <c r="P6" s="70">
        <f t="shared" si="3"/>
        <v>-50.75</v>
      </c>
      <c r="Q6" s="58" t="s">
        <v>120</v>
      </c>
    </row>
    <row r="7" spans="1:35" ht="15" x14ac:dyDescent="0.25">
      <c r="A7" s="58" t="s">
        <v>123</v>
      </c>
      <c r="B7" s="58"/>
      <c r="C7" s="58"/>
      <c r="D7" s="58"/>
      <c r="E7" s="58"/>
      <c r="F7" s="58"/>
      <c r="G7" s="70">
        <f t="shared" ref="G7:P7" si="4">SUM(G4:G6)</f>
        <v>49.25</v>
      </c>
      <c r="H7" s="70">
        <f t="shared" si="4"/>
        <v>49.25</v>
      </c>
      <c r="I7" s="70">
        <f t="shared" si="4"/>
        <v>49.25</v>
      </c>
      <c r="J7" s="70">
        <f t="shared" si="4"/>
        <v>49.25</v>
      </c>
      <c r="K7" s="70">
        <f t="shared" si="4"/>
        <v>49.25</v>
      </c>
      <c r="L7" s="70">
        <f t="shared" si="4"/>
        <v>49.25</v>
      </c>
      <c r="M7" s="70">
        <f t="shared" si="4"/>
        <v>49.25</v>
      </c>
      <c r="N7" s="70">
        <f t="shared" si="4"/>
        <v>49.25</v>
      </c>
      <c r="O7" s="70">
        <f t="shared" si="4"/>
        <v>49.25</v>
      </c>
      <c r="P7" s="70">
        <f t="shared" si="4"/>
        <v>49.25</v>
      </c>
      <c r="Q7" s="58" t="s">
        <v>120</v>
      </c>
      <c r="U7" s="99"/>
    </row>
    <row r="8" spans="1:35" ht="15" x14ac:dyDescent="0.25">
      <c r="A8" s="58" t="s">
        <v>124</v>
      </c>
      <c r="B8" s="63">
        <v>14</v>
      </c>
      <c r="C8" s="64" t="s">
        <v>125</v>
      </c>
      <c r="D8" s="63">
        <v>700000</v>
      </c>
      <c r="E8" s="58" t="s">
        <v>126</v>
      </c>
      <c r="F8" s="63"/>
      <c r="G8" s="70">
        <f t="shared" ref="G8:P8" si="5">-$D$8*$B$8/1000000</f>
        <v>-9.8000000000000007</v>
      </c>
      <c r="H8" s="70">
        <f t="shared" si="5"/>
        <v>-9.8000000000000007</v>
      </c>
      <c r="I8" s="70">
        <f t="shared" si="5"/>
        <v>-9.8000000000000007</v>
      </c>
      <c r="J8" s="70">
        <f t="shared" si="5"/>
        <v>-9.8000000000000007</v>
      </c>
      <c r="K8" s="70">
        <f t="shared" si="5"/>
        <v>-9.8000000000000007</v>
      </c>
      <c r="L8" s="70">
        <f t="shared" si="5"/>
        <v>-9.8000000000000007</v>
      </c>
      <c r="M8" s="70">
        <f t="shared" si="5"/>
        <v>-9.8000000000000007</v>
      </c>
      <c r="N8" s="70">
        <f t="shared" si="5"/>
        <v>-9.8000000000000007</v>
      </c>
      <c r="O8" s="70">
        <f t="shared" si="5"/>
        <v>-9.8000000000000007</v>
      </c>
      <c r="P8" s="70">
        <f t="shared" si="5"/>
        <v>-9.8000000000000007</v>
      </c>
      <c r="Q8" s="58" t="s">
        <v>120</v>
      </c>
    </row>
    <row r="9" spans="1:35" ht="15" x14ac:dyDescent="0.25">
      <c r="A9" s="72" t="s">
        <v>127</v>
      </c>
      <c r="D9" s="58"/>
      <c r="E9" s="58"/>
      <c r="F9" s="61">
        <v>-250</v>
      </c>
      <c r="G9" s="58"/>
      <c r="H9" s="58"/>
      <c r="I9" s="58"/>
      <c r="J9" s="58"/>
      <c r="K9" s="58"/>
      <c r="L9" s="58"/>
      <c r="M9" s="58"/>
      <c r="N9" s="58"/>
      <c r="O9" s="58"/>
      <c r="P9" s="61">
        <v>100</v>
      </c>
      <c r="Q9" s="96" t="s">
        <v>120</v>
      </c>
    </row>
    <row r="10" spans="1:35" ht="15" x14ac:dyDescent="0.25">
      <c r="A10" s="58" t="s">
        <v>128</v>
      </c>
      <c r="B10" s="73">
        <v>0.15</v>
      </c>
      <c r="E10" s="58"/>
      <c r="F10" s="70">
        <f>-D4*B4*B10/1000000</f>
        <v>-22.5</v>
      </c>
      <c r="G10" s="58"/>
      <c r="H10" s="58"/>
      <c r="I10" s="58"/>
      <c r="J10" s="58"/>
      <c r="K10" s="58"/>
      <c r="L10" s="58"/>
      <c r="M10" s="58"/>
      <c r="N10" s="58"/>
      <c r="O10" s="58"/>
      <c r="P10" s="70">
        <f>-F10</f>
        <v>22.5</v>
      </c>
      <c r="Q10" s="58" t="s">
        <v>120</v>
      </c>
    </row>
    <row r="11" spans="1:35" ht="15" x14ac:dyDescent="0.25">
      <c r="A11" s="58" t="s">
        <v>1</v>
      </c>
      <c r="B11" s="58"/>
      <c r="C11" s="58"/>
      <c r="D11" s="58"/>
      <c r="E11" s="58"/>
      <c r="F11" s="70">
        <f t="shared" ref="F11:P11" si="6">SUM(F7:F10)</f>
        <v>-272.5</v>
      </c>
      <c r="G11" s="70">
        <f t="shared" si="6"/>
        <v>39.450000000000003</v>
      </c>
      <c r="H11" s="70">
        <f t="shared" si="6"/>
        <v>39.450000000000003</v>
      </c>
      <c r="I11" s="70">
        <f t="shared" si="6"/>
        <v>39.450000000000003</v>
      </c>
      <c r="J11" s="70">
        <f t="shared" si="6"/>
        <v>39.450000000000003</v>
      </c>
      <c r="K11" s="70">
        <f t="shared" si="6"/>
        <v>39.450000000000003</v>
      </c>
      <c r="L11" s="70">
        <f t="shared" si="6"/>
        <v>39.450000000000003</v>
      </c>
      <c r="M11" s="70">
        <f t="shared" si="6"/>
        <v>39.450000000000003</v>
      </c>
      <c r="N11" s="70">
        <f t="shared" si="6"/>
        <v>39.450000000000003</v>
      </c>
      <c r="O11" s="70">
        <f t="shared" si="6"/>
        <v>39.450000000000003</v>
      </c>
      <c r="P11" s="70">
        <f t="shared" si="6"/>
        <v>161.94999999999999</v>
      </c>
      <c r="Q11" s="58" t="s">
        <v>120</v>
      </c>
    </row>
    <row r="12" spans="1:35" ht="15" x14ac:dyDescent="0.25">
      <c r="A12" s="58" t="s">
        <v>100</v>
      </c>
      <c r="F12" s="77">
        <f>IRR(F11:P11)</f>
        <v>0.11219941298389013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35" ht="15" x14ac:dyDescent="0.25">
      <c r="A13" s="58" t="s">
        <v>129</v>
      </c>
      <c r="D13" s="100">
        <v>0.09</v>
      </c>
      <c r="E13" s="73"/>
      <c r="F13" s="64">
        <f>NPV(D13,$F$11:$P$11)*(1+D13)</f>
        <v>32.421920155444752</v>
      </c>
      <c r="G13" s="58" t="str">
        <f>Q4</f>
        <v>mill. kr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35" ht="15" x14ac:dyDescent="0.25">
      <c r="A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35" ht="15" hidden="1" outlineLevel="1" x14ac:dyDescent="0.25">
      <c r="A15" s="58"/>
      <c r="B15" s="76"/>
      <c r="C15" s="58"/>
      <c r="D15" s="62" t="s">
        <v>17</v>
      </c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35" ht="15" hidden="1" outlineLevel="1" x14ac:dyDescent="0.25">
      <c r="B16" s="77">
        <f>C16-C16</f>
        <v>0</v>
      </c>
      <c r="C16" s="76">
        <v>0.03</v>
      </c>
      <c r="D16" s="77">
        <f>C16+$C$16</f>
        <v>0.06</v>
      </c>
      <c r="E16" s="77">
        <f>D16+$C$16</f>
        <v>0.09</v>
      </c>
      <c r="F16" s="77">
        <f>E16+$C$16</f>
        <v>0.12</v>
      </c>
      <c r="G16" s="78">
        <f>F16+$C$16</f>
        <v>0.15</v>
      </c>
      <c r="H16" s="77"/>
      <c r="I16" s="58"/>
      <c r="J16" s="58"/>
      <c r="K16" s="58"/>
      <c r="L16" s="58"/>
      <c r="M16" s="58"/>
      <c r="N16" s="58"/>
      <c r="O16" s="58"/>
      <c r="P16" s="58"/>
      <c r="Q16" s="58"/>
    </row>
    <row r="17" spans="1:22" ht="15" hidden="1" outlineLevel="1" x14ac:dyDescent="0.25">
      <c r="A17" s="62" t="s">
        <v>92</v>
      </c>
      <c r="B17" s="64">
        <f t="shared" ref="B17:G17" si="7">NPV(B16,$F$11:$P$11)*(1+B16)</f>
        <v>244.49999999999997</v>
      </c>
      <c r="C17" s="64">
        <f t="shared" si="7"/>
        <v>155.1680064856553</v>
      </c>
      <c r="D17" s="64">
        <f t="shared" si="7"/>
        <v>86.258794350411662</v>
      </c>
      <c r="E17" s="64">
        <f t="shared" si="7"/>
        <v>32.421920155444752</v>
      </c>
      <c r="F17" s="64">
        <f t="shared" si="7"/>
        <v>-10.156980046831215</v>
      </c>
      <c r="G17" s="79">
        <f t="shared" si="7"/>
        <v>-44.229451210122043</v>
      </c>
      <c r="H17" s="64"/>
      <c r="I17" s="58"/>
      <c r="J17" s="58"/>
      <c r="K17" s="58"/>
      <c r="L17" s="58"/>
      <c r="M17" s="58"/>
      <c r="N17" s="58"/>
      <c r="O17" s="58"/>
      <c r="P17" s="58"/>
      <c r="Q17" s="58"/>
    </row>
    <row r="18" spans="1:22" collapsed="1" x14ac:dyDescent="0.2"/>
    <row r="20" spans="1:22" x14ac:dyDescent="0.2">
      <c r="U20" s="101"/>
    </row>
    <row r="21" spans="1:22" x14ac:dyDescent="0.2">
      <c r="V21" s="102"/>
    </row>
  </sheetData>
  <mergeCells count="1">
    <mergeCell ref="F2:P2"/>
  </mergeCells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I21"/>
  <sheetViews>
    <sheetView zoomScaleNormal="100" workbookViewId="0"/>
  </sheetViews>
  <sheetFormatPr baseColWidth="10" defaultColWidth="11.42578125" defaultRowHeight="12.75" outlineLevelRow="1" outlineLevelCol="1" x14ac:dyDescent="0.2"/>
  <cols>
    <col min="1" max="1" width="21.28515625" style="59" customWidth="1" outlineLevel="1"/>
    <col min="2" max="2" width="13.5703125" style="59" customWidth="1" outlineLevel="1"/>
    <col min="3" max="3" width="8" style="59" customWidth="1" outlineLevel="1"/>
    <col min="4" max="4" width="11.42578125" style="59" customWidth="1" outlineLevel="1"/>
    <col min="5" max="5" width="11.28515625" style="59" customWidth="1" outlineLevel="1"/>
    <col min="6" max="7" width="7.28515625" style="59" customWidth="1"/>
    <col min="8" max="15" width="9.140625" style="59" customWidth="1" outlineLevel="1"/>
    <col min="16" max="16" width="7.7109375" style="59" customWidth="1"/>
    <col min="17" max="17" width="8.140625" style="59" customWidth="1"/>
    <col min="18" max="18" width="5.5703125" style="59" customWidth="1"/>
    <col min="19" max="19" width="14.28515625" style="59" customWidth="1"/>
    <col min="20" max="20" width="9.28515625" style="59" bestFit="1" customWidth="1"/>
    <col min="21" max="21" width="11.42578125" style="59" customWidth="1"/>
    <col min="22" max="22" width="18" style="59" customWidth="1"/>
    <col min="23" max="16384" width="11.42578125" style="59"/>
  </cols>
  <sheetData>
    <row r="1" spans="1:35" ht="15" x14ac:dyDescent="0.25">
      <c r="A1" s="58" t="s">
        <v>102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35" ht="15" x14ac:dyDescent="0.25">
      <c r="A2" s="58"/>
      <c r="B2" s="58"/>
      <c r="C2" s="58"/>
      <c r="D2" s="58"/>
      <c r="E2" s="58"/>
      <c r="F2" s="185" t="s">
        <v>53</v>
      </c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58"/>
    </row>
    <row r="3" spans="1:35" ht="15" x14ac:dyDescent="0.25">
      <c r="A3" s="58"/>
      <c r="B3" s="60" t="s">
        <v>113</v>
      </c>
      <c r="C3" s="58"/>
      <c r="D3" s="60" t="s">
        <v>114</v>
      </c>
      <c r="E3" s="58"/>
      <c r="F3" s="61">
        <v>2020</v>
      </c>
      <c r="G3" s="58">
        <f t="shared" ref="G3:P3" si="0">F3+1</f>
        <v>2021</v>
      </c>
      <c r="H3" s="58">
        <f t="shared" si="0"/>
        <v>2022</v>
      </c>
      <c r="I3" s="58">
        <f t="shared" si="0"/>
        <v>2023</v>
      </c>
      <c r="J3" s="58">
        <f t="shared" si="0"/>
        <v>2024</v>
      </c>
      <c r="K3" s="58">
        <f t="shared" si="0"/>
        <v>2025</v>
      </c>
      <c r="L3" s="58">
        <f t="shared" si="0"/>
        <v>2026</v>
      </c>
      <c r="M3" s="58">
        <f t="shared" si="0"/>
        <v>2027</v>
      </c>
      <c r="N3" s="58">
        <f t="shared" si="0"/>
        <v>2028</v>
      </c>
      <c r="O3" s="58">
        <f t="shared" si="0"/>
        <v>2029</v>
      </c>
      <c r="P3" s="58">
        <f t="shared" si="0"/>
        <v>2030</v>
      </c>
      <c r="Q3" s="58"/>
    </row>
    <row r="4" spans="1:35" ht="15" outlineLevel="1" x14ac:dyDescent="0.25">
      <c r="A4" s="62" t="s">
        <v>115</v>
      </c>
      <c r="B4" s="63">
        <v>10000</v>
      </c>
      <c r="C4" s="64" t="s">
        <v>116</v>
      </c>
      <c r="D4" s="63">
        <v>15000</v>
      </c>
      <c r="E4" s="64" t="s">
        <v>117</v>
      </c>
      <c r="F4" s="63"/>
      <c r="G4" s="58">
        <f t="shared" ref="G4:P4" si="1">$D$4*$B$4/1000000</f>
        <v>150</v>
      </c>
      <c r="H4" s="58">
        <f t="shared" si="1"/>
        <v>150</v>
      </c>
      <c r="I4" s="58">
        <f t="shared" si="1"/>
        <v>150</v>
      </c>
      <c r="J4" s="58">
        <f t="shared" si="1"/>
        <v>150</v>
      </c>
      <c r="K4" s="58">
        <f t="shared" si="1"/>
        <v>150</v>
      </c>
      <c r="L4" s="58">
        <f t="shared" si="1"/>
        <v>150</v>
      </c>
      <c r="M4" s="58">
        <f t="shared" si="1"/>
        <v>150</v>
      </c>
      <c r="N4" s="58">
        <f t="shared" si="1"/>
        <v>150</v>
      </c>
      <c r="O4" s="58">
        <f t="shared" si="1"/>
        <v>150</v>
      </c>
      <c r="P4" s="58">
        <f t="shared" si="1"/>
        <v>150</v>
      </c>
      <c r="Q4" s="61" t="s">
        <v>118</v>
      </c>
      <c r="S4" s="65"/>
      <c r="AA4" s="66"/>
      <c r="AB4" s="66"/>
      <c r="AC4" s="66"/>
      <c r="AD4" s="66"/>
      <c r="AE4" s="66"/>
      <c r="AF4" s="66"/>
      <c r="AG4" s="66"/>
      <c r="AH4" s="66"/>
      <c r="AI4" s="66"/>
    </row>
    <row r="5" spans="1:35" ht="15" outlineLevel="1" x14ac:dyDescent="0.25">
      <c r="A5" s="62" t="s">
        <v>119</v>
      </c>
      <c r="B5" s="63">
        <v>20000</v>
      </c>
      <c r="C5" s="64" t="s">
        <v>116</v>
      </c>
      <c r="D5" s="63">
        <v>2500</v>
      </c>
      <c r="E5" s="64" t="s">
        <v>117</v>
      </c>
      <c r="F5" s="63"/>
      <c r="G5" s="58">
        <f t="shared" ref="G5:P5" si="2">-$D$5*$B$5/1000000</f>
        <v>-50</v>
      </c>
      <c r="H5" s="58">
        <f t="shared" si="2"/>
        <v>-50</v>
      </c>
      <c r="I5" s="58">
        <f t="shared" si="2"/>
        <v>-50</v>
      </c>
      <c r="J5" s="58">
        <f t="shared" si="2"/>
        <v>-50</v>
      </c>
      <c r="K5" s="58">
        <f t="shared" si="2"/>
        <v>-50</v>
      </c>
      <c r="L5" s="58">
        <f t="shared" si="2"/>
        <v>-50</v>
      </c>
      <c r="M5" s="58">
        <f t="shared" si="2"/>
        <v>-50</v>
      </c>
      <c r="N5" s="58">
        <f t="shared" si="2"/>
        <v>-50</v>
      </c>
      <c r="O5" s="58">
        <f t="shared" si="2"/>
        <v>-50</v>
      </c>
      <c r="P5" s="58">
        <f t="shared" si="2"/>
        <v>-50</v>
      </c>
      <c r="Q5" s="58" t="s">
        <v>120</v>
      </c>
    </row>
    <row r="6" spans="1:35" ht="15" outlineLevel="1" x14ac:dyDescent="0.25">
      <c r="A6" s="58" t="s">
        <v>112</v>
      </c>
      <c r="B6" s="63">
        <v>145000000</v>
      </c>
      <c r="C6" s="67" t="s">
        <v>121</v>
      </c>
      <c r="D6" s="68">
        <v>0.35</v>
      </c>
      <c r="E6" s="69" t="s">
        <v>122</v>
      </c>
      <c r="F6" s="63"/>
      <c r="G6" s="70">
        <f t="shared" ref="G6:P6" si="3">-$D$6*$B$6/1000000</f>
        <v>-50.75</v>
      </c>
      <c r="H6" s="70">
        <f t="shared" si="3"/>
        <v>-50.75</v>
      </c>
      <c r="I6" s="70">
        <f t="shared" si="3"/>
        <v>-50.75</v>
      </c>
      <c r="J6" s="70">
        <f t="shared" si="3"/>
        <v>-50.75</v>
      </c>
      <c r="K6" s="70">
        <f t="shared" si="3"/>
        <v>-50.75</v>
      </c>
      <c r="L6" s="70">
        <f t="shared" si="3"/>
        <v>-50.75</v>
      </c>
      <c r="M6" s="70">
        <f t="shared" si="3"/>
        <v>-50.75</v>
      </c>
      <c r="N6" s="70">
        <f t="shared" si="3"/>
        <v>-50.75</v>
      </c>
      <c r="O6" s="70">
        <f t="shared" si="3"/>
        <v>-50.75</v>
      </c>
      <c r="P6" s="70">
        <f t="shared" si="3"/>
        <v>-50.75</v>
      </c>
      <c r="Q6" s="58" t="s">
        <v>120</v>
      </c>
    </row>
    <row r="7" spans="1:35" ht="15" outlineLevel="1" x14ac:dyDescent="0.25">
      <c r="A7" s="58" t="s">
        <v>123</v>
      </c>
      <c r="B7" s="58"/>
      <c r="C7" s="58"/>
      <c r="D7" s="58"/>
      <c r="E7" s="58"/>
      <c r="F7" s="58"/>
      <c r="G7" s="70">
        <f t="shared" ref="G7:P7" si="4">SUM(G4:G6)</f>
        <v>49.25</v>
      </c>
      <c r="H7" s="70">
        <f t="shared" si="4"/>
        <v>49.25</v>
      </c>
      <c r="I7" s="70">
        <f t="shared" si="4"/>
        <v>49.25</v>
      </c>
      <c r="J7" s="70">
        <f t="shared" si="4"/>
        <v>49.25</v>
      </c>
      <c r="K7" s="70">
        <f t="shared" si="4"/>
        <v>49.25</v>
      </c>
      <c r="L7" s="70">
        <f t="shared" si="4"/>
        <v>49.25</v>
      </c>
      <c r="M7" s="70">
        <f t="shared" si="4"/>
        <v>49.25</v>
      </c>
      <c r="N7" s="70">
        <f t="shared" si="4"/>
        <v>49.25</v>
      </c>
      <c r="O7" s="70">
        <f t="shared" si="4"/>
        <v>49.25</v>
      </c>
      <c r="P7" s="70">
        <f t="shared" si="4"/>
        <v>49.25</v>
      </c>
      <c r="Q7" s="58" t="s">
        <v>120</v>
      </c>
      <c r="U7" s="71"/>
    </row>
    <row r="8" spans="1:35" ht="15" outlineLevel="1" x14ac:dyDescent="0.25">
      <c r="A8" s="58" t="s">
        <v>124</v>
      </c>
      <c r="B8" s="63">
        <v>14</v>
      </c>
      <c r="C8" s="64" t="s">
        <v>125</v>
      </c>
      <c r="D8" s="63">
        <v>700000</v>
      </c>
      <c r="E8" s="58" t="s">
        <v>126</v>
      </c>
      <c r="F8" s="63"/>
      <c r="G8" s="70">
        <f t="shared" ref="G8:P8" si="5">-$D$8*$B$8/1000000</f>
        <v>-9.8000000000000007</v>
      </c>
      <c r="H8" s="70">
        <f t="shared" si="5"/>
        <v>-9.8000000000000007</v>
      </c>
      <c r="I8" s="70">
        <f t="shared" si="5"/>
        <v>-9.8000000000000007</v>
      </c>
      <c r="J8" s="70">
        <f t="shared" si="5"/>
        <v>-9.8000000000000007</v>
      </c>
      <c r="K8" s="70">
        <f t="shared" si="5"/>
        <v>-9.8000000000000007</v>
      </c>
      <c r="L8" s="70">
        <f t="shared" si="5"/>
        <v>-9.8000000000000007</v>
      </c>
      <c r="M8" s="70">
        <f t="shared" si="5"/>
        <v>-9.8000000000000007</v>
      </c>
      <c r="N8" s="70">
        <f t="shared" si="5"/>
        <v>-9.8000000000000007</v>
      </c>
      <c r="O8" s="70">
        <f t="shared" si="5"/>
        <v>-9.8000000000000007</v>
      </c>
      <c r="P8" s="70">
        <f t="shared" si="5"/>
        <v>-9.8000000000000007</v>
      </c>
      <c r="Q8" s="58" t="s">
        <v>120</v>
      </c>
    </row>
    <row r="9" spans="1:35" ht="15" outlineLevel="1" x14ac:dyDescent="0.25">
      <c r="A9" s="72" t="s">
        <v>127</v>
      </c>
      <c r="D9" s="58"/>
      <c r="E9" s="58"/>
      <c r="F9" s="61">
        <v>-250</v>
      </c>
      <c r="G9" s="58"/>
      <c r="H9" s="58"/>
      <c r="I9" s="58"/>
      <c r="J9" s="58"/>
      <c r="K9" s="58"/>
      <c r="L9" s="58"/>
      <c r="M9" s="58"/>
      <c r="N9" s="58"/>
      <c r="O9" s="58"/>
      <c r="P9" s="61">
        <v>100</v>
      </c>
      <c r="Q9" s="59" t="s">
        <v>120</v>
      </c>
    </row>
    <row r="10" spans="1:35" ht="15" outlineLevel="1" x14ac:dyDescent="0.25">
      <c r="A10" s="58" t="s">
        <v>128</v>
      </c>
      <c r="B10" s="73">
        <v>0.15</v>
      </c>
      <c r="E10" s="58"/>
      <c r="F10" s="70">
        <f>-D4*B4*B10/1000000</f>
        <v>-22.5</v>
      </c>
      <c r="G10" s="58"/>
      <c r="H10" s="58"/>
      <c r="I10" s="58"/>
      <c r="J10" s="58"/>
      <c r="K10" s="58"/>
      <c r="L10" s="58"/>
      <c r="M10" s="58"/>
      <c r="N10" s="58"/>
      <c r="O10" s="58"/>
      <c r="P10" s="70">
        <f>-F10</f>
        <v>22.5</v>
      </c>
      <c r="Q10" s="58" t="s">
        <v>120</v>
      </c>
    </row>
    <row r="11" spans="1:35" ht="15" x14ac:dyDescent="0.25">
      <c r="A11" s="58" t="s">
        <v>1</v>
      </c>
      <c r="B11" s="58"/>
      <c r="C11" s="58"/>
      <c r="D11" s="58"/>
      <c r="E11" s="58"/>
      <c r="F11" s="70">
        <f t="shared" ref="F11:P11" si="6">SUM(F7:F10)</f>
        <v>-272.5</v>
      </c>
      <c r="G11" s="70">
        <f t="shared" si="6"/>
        <v>39.450000000000003</v>
      </c>
      <c r="H11" s="70">
        <f t="shared" si="6"/>
        <v>39.450000000000003</v>
      </c>
      <c r="I11" s="70">
        <f t="shared" si="6"/>
        <v>39.450000000000003</v>
      </c>
      <c r="J11" s="70">
        <f t="shared" si="6"/>
        <v>39.450000000000003</v>
      </c>
      <c r="K11" s="70">
        <f t="shared" si="6"/>
        <v>39.450000000000003</v>
      </c>
      <c r="L11" s="70">
        <f t="shared" si="6"/>
        <v>39.450000000000003</v>
      </c>
      <c r="M11" s="70">
        <f t="shared" si="6"/>
        <v>39.450000000000003</v>
      </c>
      <c r="N11" s="70">
        <f t="shared" si="6"/>
        <v>39.450000000000003</v>
      </c>
      <c r="O11" s="70">
        <f t="shared" si="6"/>
        <v>39.450000000000003</v>
      </c>
      <c r="P11" s="70">
        <f t="shared" si="6"/>
        <v>161.94999999999999</v>
      </c>
      <c r="Q11" s="58"/>
    </row>
    <row r="12" spans="1:35" ht="15" outlineLevel="1" x14ac:dyDescent="0.25">
      <c r="A12" s="58" t="s">
        <v>100</v>
      </c>
      <c r="F12" s="77">
        <f>IRR(F11:P11)</f>
        <v>0.11219941298389013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35" ht="15" outlineLevel="1" x14ac:dyDescent="0.25">
      <c r="A13" s="58" t="s">
        <v>129</v>
      </c>
      <c r="D13" s="75">
        <v>0.09</v>
      </c>
      <c r="E13" s="73"/>
      <c r="F13" s="64">
        <f>NPV(D13,$F$11:$P$11)*(1+D13)</f>
        <v>32.421920155444752</v>
      </c>
      <c r="G13" s="58" t="str">
        <f>Q4</f>
        <v>mill. kr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35" ht="15" outlineLevel="1" x14ac:dyDescent="0.25">
      <c r="A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35" ht="15" outlineLevel="1" x14ac:dyDescent="0.25">
      <c r="A15" s="58"/>
      <c r="B15" s="76"/>
      <c r="C15" s="58"/>
      <c r="D15" s="62" t="s">
        <v>17</v>
      </c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35" ht="15" outlineLevel="1" x14ac:dyDescent="0.25">
      <c r="B16" s="77">
        <f>C16-C16</f>
        <v>0</v>
      </c>
      <c r="C16" s="76">
        <v>0.03</v>
      </c>
      <c r="D16" s="77">
        <f>C16+$C$16</f>
        <v>0.06</v>
      </c>
      <c r="E16" s="77">
        <f>D16+$C$16</f>
        <v>0.09</v>
      </c>
      <c r="F16" s="77">
        <f>E16+$C$16</f>
        <v>0.12</v>
      </c>
      <c r="G16" s="78">
        <f>F16+$C$16</f>
        <v>0.15</v>
      </c>
      <c r="H16" s="77"/>
      <c r="I16" s="58"/>
      <c r="J16" s="58"/>
      <c r="K16" s="58"/>
      <c r="L16" s="58"/>
      <c r="M16" s="58"/>
      <c r="N16" s="58"/>
      <c r="O16" s="58"/>
      <c r="P16" s="58"/>
      <c r="Q16" s="58"/>
    </row>
    <row r="17" spans="1:22" ht="15" outlineLevel="1" x14ac:dyDescent="0.25">
      <c r="A17" s="62" t="s">
        <v>92</v>
      </c>
      <c r="B17" s="64">
        <f t="shared" ref="B17:G17" si="7">NPV(B16,$F$11:$P$11)*(1+B16)</f>
        <v>244.49999999999997</v>
      </c>
      <c r="C17" s="64">
        <f t="shared" si="7"/>
        <v>155.1680064856553</v>
      </c>
      <c r="D17" s="64">
        <f t="shared" si="7"/>
        <v>86.258794350411662</v>
      </c>
      <c r="E17" s="64">
        <f t="shared" si="7"/>
        <v>32.421920155444752</v>
      </c>
      <c r="F17" s="64">
        <f t="shared" si="7"/>
        <v>-10.156980046831215</v>
      </c>
      <c r="G17" s="79">
        <f t="shared" si="7"/>
        <v>-44.229451210122043</v>
      </c>
      <c r="H17" s="64"/>
      <c r="I17" s="58"/>
      <c r="J17" s="58"/>
      <c r="K17" s="58"/>
      <c r="L17" s="58"/>
      <c r="M17" s="58"/>
      <c r="N17" s="58"/>
      <c r="O17" s="58"/>
      <c r="P17" s="58"/>
      <c r="Q17" s="58"/>
    </row>
    <row r="19" spans="1:22" x14ac:dyDescent="0.2">
      <c r="A19" s="103"/>
      <c r="B19" s="103"/>
      <c r="C19" s="103"/>
    </row>
    <row r="20" spans="1:22" x14ac:dyDescent="0.2">
      <c r="U20" s="80"/>
    </row>
    <row r="21" spans="1:22" x14ac:dyDescent="0.2">
      <c r="V21" s="81"/>
    </row>
  </sheetData>
  <mergeCells count="1">
    <mergeCell ref="F2:P2"/>
  </mergeCells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29</vt:i4>
      </vt:variant>
      <vt:variant>
        <vt:lpstr>Navngitte områder</vt:lpstr>
      </vt:variant>
      <vt:variant>
        <vt:i4>1</vt:i4>
      </vt:variant>
    </vt:vector>
  </HeadingPairs>
  <TitlesOfParts>
    <vt:vector size="30" baseType="lpstr">
      <vt:lpstr>Tabell 5.1 og Figur 5.2</vt:lpstr>
      <vt:lpstr>Tabell 5.2</vt:lpstr>
      <vt:lpstr>Tabell 5.4</vt:lpstr>
      <vt:lpstr>Tabell 5.5</vt:lpstr>
      <vt:lpstr>Tabell 5.6</vt:lpstr>
      <vt:lpstr>Tabell 5.7</vt:lpstr>
      <vt:lpstr>Hagens boliginvestering</vt:lpstr>
      <vt:lpstr>Tabell 5.8</vt:lpstr>
      <vt:lpstr>Tabell 5.9</vt:lpstr>
      <vt:lpstr>Tabell 5.10</vt:lpstr>
      <vt:lpstr>Tabell 5.12</vt:lpstr>
      <vt:lpstr>Tabell 5.13</vt:lpstr>
      <vt:lpstr>Tabell 5.14</vt:lpstr>
      <vt:lpstr>Tabell 5.15</vt:lpstr>
      <vt:lpstr>Tabell 5.16</vt:lpstr>
      <vt:lpstr>Tabell 5.17</vt:lpstr>
      <vt:lpstr>Tabell 5.18</vt:lpstr>
      <vt:lpstr>Tabell 5.20</vt:lpstr>
      <vt:lpstr>Figur 5.2</vt:lpstr>
      <vt:lpstr>Figur 5.4</vt:lpstr>
      <vt:lpstr>Figur 5.5</vt:lpstr>
      <vt:lpstr>Figur 5.6</vt:lpstr>
      <vt:lpstr>Figur 5.7</vt:lpstr>
      <vt:lpstr>Figur 5.9</vt:lpstr>
      <vt:lpstr>Figur 5.10</vt:lpstr>
      <vt:lpstr>Figur Leasing</vt:lpstr>
      <vt:lpstr>Tabell Leasing</vt:lpstr>
      <vt:lpstr>Eksempel N.5.10</vt:lpstr>
      <vt:lpstr>Eksempel N.5.10.a</vt:lpstr>
      <vt:lpstr>'Tabell 5.20'!Utskriftsområde</vt:lpstr>
    </vt:vector>
  </TitlesOfParts>
  <Company>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Øyvind Bøhren</dc:creator>
  <cp:lastModifiedBy>Malgorzata Golinska</cp:lastModifiedBy>
  <cp:lastPrinted>2015-04-10T11:38:26Z</cp:lastPrinted>
  <dcterms:created xsi:type="dcterms:W3CDTF">2007-01-01T19:46:20Z</dcterms:created>
  <dcterms:modified xsi:type="dcterms:W3CDTF">2019-10-18T10:55:52Z</dcterms:modified>
</cp:coreProperties>
</file>